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800様式\10協会\Aya Work\保護協調検討\"/>
    </mc:Choice>
  </mc:AlternateContent>
  <xr:revisionPtr revIDLastSave="0" documentId="13_ncr:1_{50406C73-A40B-4C53-9C3E-F54864C0919E}" xr6:coauthVersionLast="47" xr6:coauthVersionMax="47" xr10:uidLastSave="{00000000-0000-0000-0000-000000000000}"/>
  <bookViews>
    <workbookView xWindow="525" yWindow="3915" windowWidth="21720" windowHeight="9015" xr2:uid="{00000000-000D-0000-FFFF-FFFF00000000}"/>
  </bookViews>
  <sheets>
    <sheet name="OC強度" sheetId="1" r:id="rId1"/>
    <sheet name="OCR" sheetId="2" r:id="rId2"/>
    <sheet name="Ｔｒ群" sheetId="3" r:id="rId3"/>
    <sheet name="Bus短絡" sheetId="5" r:id="rId4"/>
  </sheets>
  <definedNames>
    <definedName name="_xlnm.Print_Area" localSheetId="3">Bus短絡!$A:$H</definedName>
    <definedName name="_xlnm.Print_Area" localSheetId="1">OCR!$A:$G</definedName>
    <definedName name="_xlnm.Print_Area" localSheetId="0">OC強度!$A:$E</definedName>
    <definedName name="_xlnm.Print_Area" localSheetId="2">Ｔｒ群!$A:$N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  <c r="D30" i="1" l="1"/>
  <c r="E30" i="1"/>
  <c r="E29" i="1"/>
  <c r="L8" i="5"/>
  <c r="G8" i="5"/>
  <c r="Q8" i="3"/>
  <c r="Q7" i="3"/>
  <c r="P7" i="3"/>
  <c r="Q9" i="3"/>
  <c r="P9" i="3" s="1"/>
  <c r="P15" i="3"/>
  <c r="P14" i="3"/>
  <c r="P13" i="3"/>
  <c r="P12" i="3"/>
  <c r="P11" i="3"/>
  <c r="Q10" i="3"/>
  <c r="P10" i="3" s="1"/>
  <c r="P8" i="3"/>
  <c r="H10" i="3"/>
  <c r="E7" i="3"/>
  <c r="E16" i="3" s="1"/>
  <c r="H7" i="3"/>
  <c r="H16" i="3" s="1"/>
  <c r="E8" i="3"/>
  <c r="H8" i="3"/>
  <c r="E9" i="3"/>
  <c r="H9" i="3"/>
  <c r="H11" i="3"/>
  <c r="H12" i="3"/>
  <c r="H13" i="3"/>
  <c r="H14" i="3"/>
  <c r="H15" i="3"/>
  <c r="E10" i="3"/>
  <c r="I10" i="3"/>
  <c r="I16" i="3" s="1"/>
  <c r="I7" i="3"/>
  <c r="I8" i="3"/>
  <c r="I9" i="3"/>
  <c r="I11" i="3"/>
  <c r="I12" i="3"/>
  <c r="I13" i="3"/>
  <c r="I14" i="3"/>
  <c r="I15" i="3"/>
  <c r="J10" i="3"/>
  <c r="J7" i="3"/>
  <c r="J8" i="3"/>
  <c r="J16" i="3" s="1"/>
  <c r="J9" i="3"/>
  <c r="J11" i="3"/>
  <c r="J12" i="3"/>
  <c r="J13" i="3"/>
  <c r="J14" i="3"/>
  <c r="J15" i="3"/>
  <c r="E15" i="3"/>
  <c r="E14" i="3"/>
  <c r="E13" i="3"/>
  <c r="E12" i="3"/>
  <c r="E11" i="3"/>
  <c r="A2" i="5"/>
  <c r="D6" i="5"/>
  <c r="D7" i="5" s="1"/>
  <c r="G6" i="5"/>
  <c r="G7" i="5"/>
  <c r="C10" i="5"/>
  <c r="E9" i="5"/>
  <c r="D12" i="5" s="1"/>
  <c r="C18" i="5" s="1"/>
  <c r="F10" i="5"/>
  <c r="H9" i="5" s="1"/>
  <c r="G12" i="5" s="1"/>
  <c r="F18" i="5" s="1"/>
  <c r="C13" i="5"/>
  <c r="D13" i="5"/>
  <c r="D16" i="5"/>
  <c r="F13" i="5"/>
  <c r="G13" i="5" s="1"/>
  <c r="G16" i="5" s="1"/>
  <c r="E18" i="5"/>
  <c r="H18" i="5"/>
  <c r="C28" i="5"/>
  <c r="E28" i="5"/>
  <c r="F28" i="5"/>
  <c r="H28" i="5" s="1"/>
  <c r="F11" i="2"/>
  <c r="E20" i="2"/>
  <c r="F12" i="2"/>
  <c r="F13" i="2" s="1"/>
  <c r="F14" i="2"/>
  <c r="D20" i="2" s="1"/>
  <c r="F20" i="2" s="1"/>
  <c r="D17" i="2"/>
  <c r="D4" i="2"/>
  <c r="E4" i="2"/>
  <c r="F10" i="2"/>
  <c r="G18" i="2"/>
  <c r="C16" i="3"/>
  <c r="A2" i="3"/>
  <c r="A2" i="2"/>
  <c r="G15" i="5"/>
  <c r="D8" i="5"/>
  <c r="G22" i="2" l="1"/>
  <c r="E17" i="2"/>
  <c r="F17" i="2" s="1"/>
  <c r="G20" i="2" s="1"/>
  <c r="D19" i="5"/>
  <c r="G19" i="5"/>
  <c r="F5" i="2"/>
  <c r="F6" i="2"/>
  <c r="C20" i="5" l="1"/>
  <c r="E20" i="5" s="1"/>
  <c r="D29" i="5" s="1"/>
  <c r="D23" i="5"/>
  <c r="G17" i="2"/>
  <c r="F20" i="5"/>
  <c r="H20" i="5" s="1"/>
  <c r="G29" i="5" s="1"/>
  <c r="G23" i="5"/>
</calcChain>
</file>

<file path=xl/sharedStrings.xml><?xml version="1.0" encoding="utf-8"?>
<sst xmlns="http://schemas.openxmlformats.org/spreadsheetml/2006/main" count="255" uniqueCount="197">
  <si>
    <t>短絡電流に対する過電流強度などの説明（ＣＢ形）</t>
    <rPh sb="0" eb="2">
      <t>タンラク</t>
    </rPh>
    <rPh sb="2" eb="4">
      <t>デンリュウ</t>
    </rPh>
    <rPh sb="5" eb="6">
      <t>タイ</t>
    </rPh>
    <rPh sb="8" eb="9">
      <t>カ</t>
    </rPh>
    <rPh sb="9" eb="11">
      <t>デンリュウ</t>
    </rPh>
    <rPh sb="11" eb="13">
      <t>キョウド</t>
    </rPh>
    <rPh sb="16" eb="18">
      <t>セツメイ</t>
    </rPh>
    <rPh sb="21" eb="22">
      <t>カタ</t>
    </rPh>
    <phoneticPr fontId="1"/>
  </si>
  <si>
    <t>機　器　材　料</t>
    <rPh sb="0" eb="1">
      <t>キ</t>
    </rPh>
    <rPh sb="2" eb="3">
      <t>ウツワ</t>
    </rPh>
    <rPh sb="4" eb="5">
      <t>ザイ</t>
    </rPh>
    <rPh sb="6" eb="7">
      <t>リョウ</t>
    </rPh>
    <phoneticPr fontId="1"/>
  </si>
  <si>
    <t>仕　　　　　様</t>
    <rPh sb="0" eb="1">
      <t>ツコウ</t>
    </rPh>
    <rPh sb="6" eb="7">
      <t>サマ</t>
    </rPh>
    <phoneticPr fontId="1"/>
  </si>
  <si>
    <t>備　　　考</t>
    <rPh sb="0" eb="1">
      <t>ソナエ</t>
    </rPh>
    <rPh sb="4" eb="5">
      <t>コウ</t>
    </rPh>
    <phoneticPr fontId="1"/>
  </si>
  <si>
    <t>定格電圧</t>
    <rPh sb="0" eb="2">
      <t>テイカク</t>
    </rPh>
    <rPh sb="2" eb="4">
      <t>デンアツ</t>
    </rPh>
    <phoneticPr fontId="1"/>
  </si>
  <si>
    <t>定格電流</t>
    <rPh sb="0" eb="2">
      <t>テイカク</t>
    </rPh>
    <rPh sb="2" eb="4">
      <t>デンリュウ</t>
    </rPh>
    <phoneticPr fontId="1"/>
  </si>
  <si>
    <t>定格短時間電流</t>
    <rPh sb="0" eb="2">
      <t>テイカク</t>
    </rPh>
    <rPh sb="2" eb="5">
      <t>タンジカン</t>
    </rPh>
    <rPh sb="5" eb="7">
      <t>デンリュウ</t>
    </rPh>
    <phoneticPr fontId="1"/>
  </si>
  <si>
    <t>定格短時間電流
（実効値）</t>
    <rPh sb="0" eb="2">
      <t>テイカク</t>
    </rPh>
    <rPh sb="2" eb="5">
      <t>タンジカン</t>
    </rPh>
    <rPh sb="5" eb="7">
      <t>デンリュウ</t>
    </rPh>
    <rPh sb="9" eb="11">
      <t>ジッコウ</t>
    </rPh>
    <rPh sb="11" eb="12">
      <t>チ</t>
    </rPh>
    <phoneticPr fontId="1"/>
  </si>
  <si>
    <t>定格投入電流
（波高値）</t>
    <rPh sb="0" eb="2">
      <t>テイカク</t>
    </rPh>
    <rPh sb="2" eb="4">
      <t>トウニュウ</t>
    </rPh>
    <rPh sb="4" eb="6">
      <t>デンリュウ</t>
    </rPh>
    <rPh sb="8" eb="10">
      <t>ハコウ</t>
    </rPh>
    <rPh sb="10" eb="11">
      <t>チ</t>
    </rPh>
    <phoneticPr fontId="1"/>
  </si>
  <si>
    <t>許容電流</t>
    <rPh sb="0" eb="2">
      <t>キョヨウ</t>
    </rPh>
    <rPh sb="2" eb="4">
      <t>デンリュウ</t>
    </rPh>
    <phoneticPr fontId="1"/>
  </si>
  <si>
    <t>定格遮断電流</t>
    <rPh sb="0" eb="2">
      <t>テイカク</t>
    </rPh>
    <rPh sb="2" eb="4">
      <t>シャダン</t>
    </rPh>
    <rPh sb="4" eb="6">
      <t>デンリュウ</t>
    </rPh>
    <phoneticPr fontId="1"/>
  </si>
  <si>
    <t>限流値
（波高値）</t>
    <rPh sb="0" eb="2">
      <t>ゲンリュウ</t>
    </rPh>
    <rPh sb="2" eb="3">
      <t>チ</t>
    </rPh>
    <rPh sb="5" eb="7">
      <t>ハコウ</t>
    </rPh>
    <rPh sb="7" eb="8">
      <t>チ</t>
    </rPh>
    <phoneticPr fontId="1"/>
  </si>
  <si>
    <t>操作方法</t>
    <rPh sb="0" eb="2">
      <t>ソウサ</t>
    </rPh>
    <rPh sb="2" eb="4">
      <t>ホウホウ</t>
    </rPh>
    <phoneticPr fontId="1"/>
  </si>
  <si>
    <t>最大遮断電流</t>
    <rPh sb="0" eb="2">
      <t>サイダイ</t>
    </rPh>
    <rPh sb="2" eb="4">
      <t>シャダン</t>
    </rPh>
    <rPh sb="4" eb="6">
      <t>デンリュウ</t>
    </rPh>
    <phoneticPr fontId="1"/>
  </si>
  <si>
    <t>短絡強度</t>
    <rPh sb="0" eb="2">
      <t>タンラク</t>
    </rPh>
    <rPh sb="2" eb="4">
      <t>キョウド</t>
    </rPh>
    <phoneticPr fontId="1"/>
  </si>
  <si>
    <t>区分開閉器</t>
    <rPh sb="0" eb="2">
      <t>クブン</t>
    </rPh>
    <rPh sb="2" eb="5">
      <t>カイヘイキ</t>
    </rPh>
    <phoneticPr fontId="1"/>
  </si>
  <si>
    <t>ＤＳ</t>
    <phoneticPr fontId="1"/>
  </si>
  <si>
    <t>ＶＴ保護用
電力ヒューズ</t>
    <rPh sb="2" eb="5">
      <t>ホゴヨウ</t>
    </rPh>
    <rPh sb="6" eb="8">
      <t>デ</t>
    </rPh>
    <phoneticPr fontId="1"/>
  </si>
  <si>
    <t>定格一次電流</t>
    <rPh sb="0" eb="2">
      <t>テイカク</t>
    </rPh>
    <rPh sb="2" eb="4">
      <t>イチジ</t>
    </rPh>
    <rPh sb="4" eb="6">
      <t>デンリュウ</t>
    </rPh>
    <phoneticPr fontId="1"/>
  </si>
  <si>
    <t>定格二次電流</t>
    <rPh sb="0" eb="2">
      <t>テイカク</t>
    </rPh>
    <rPh sb="2" eb="4">
      <t>ニジ</t>
    </rPh>
    <rPh sb="4" eb="6">
      <t>デンリュウ</t>
    </rPh>
    <phoneticPr fontId="1"/>
  </si>
  <si>
    <t>過電流強度</t>
    <rPh sb="0" eb="1">
      <t>カ</t>
    </rPh>
    <rPh sb="1" eb="3">
      <t>デンリュウ</t>
    </rPh>
    <rPh sb="3" eb="5">
      <t>キョウド</t>
    </rPh>
    <phoneticPr fontId="1"/>
  </si>
  <si>
    <t>定格過電流定数</t>
    <rPh sb="0" eb="2">
      <t>テイカク</t>
    </rPh>
    <rPh sb="2" eb="3">
      <t>カ</t>
    </rPh>
    <rPh sb="3" eb="5">
      <t>デンリュウ</t>
    </rPh>
    <rPh sb="5" eb="7">
      <t>テイスウ</t>
    </rPh>
    <phoneticPr fontId="1"/>
  </si>
  <si>
    <t>電磁、電動、バネ蓄勢、手動</t>
    <rPh sb="0" eb="2">
      <t>デンジ</t>
    </rPh>
    <rPh sb="3" eb="5">
      <t>デンドウ</t>
    </rPh>
    <rPh sb="8" eb="9">
      <t>チク</t>
    </rPh>
    <rPh sb="9" eb="10">
      <t>セイ</t>
    </rPh>
    <rPh sb="11" eb="12">
      <t>テ</t>
    </rPh>
    <rPh sb="12" eb="13">
      <t>ドウ</t>
    </rPh>
    <phoneticPr fontId="1"/>
  </si>
  <si>
    <t>　　sq導体片使用のとき</t>
    <rPh sb="4" eb="6">
      <t>ドウタイ</t>
    </rPh>
    <rPh sb="6" eb="7">
      <t>ヘン</t>
    </rPh>
    <rPh sb="7" eb="9">
      <t>シヨウ</t>
    </rPh>
    <phoneticPr fontId="1"/>
  </si>
  <si>
    <t>ヒューズ使用</t>
    <rPh sb="4" eb="6">
      <t>シヨウ</t>
    </rPh>
    <phoneticPr fontId="1"/>
  </si>
  <si>
    <t>配電線用遮断器全遮断時間</t>
    <rPh sb="0" eb="1">
      <t>クバ</t>
    </rPh>
    <rPh sb="1" eb="3">
      <t>デンセン</t>
    </rPh>
    <rPh sb="3" eb="4">
      <t>ヨウ</t>
    </rPh>
    <rPh sb="4" eb="7">
      <t>シャダンキ</t>
    </rPh>
    <rPh sb="7" eb="8">
      <t>ゼン</t>
    </rPh>
    <rPh sb="8" eb="10">
      <t>シャダン</t>
    </rPh>
    <rPh sb="10" eb="12">
      <t>ジカン</t>
    </rPh>
    <phoneticPr fontId="1"/>
  </si>
  <si>
    <t>A（実効値）</t>
    <rPh sb="2" eb="4">
      <t>ジッコウ</t>
    </rPh>
    <rPh sb="4" eb="5">
      <t>チ</t>
    </rPh>
    <phoneticPr fontId="1"/>
  </si>
  <si>
    <t>秒</t>
    <rPh sb="0" eb="1">
      <t>ビョウ</t>
    </rPh>
    <phoneticPr fontId="1"/>
  </si>
  <si>
    <t>受電点３相短絡電流</t>
    <rPh sb="0" eb="2">
      <t>ジュデン</t>
    </rPh>
    <rPh sb="2" eb="3">
      <t>テン</t>
    </rPh>
    <rPh sb="4" eb="5">
      <t>ソウ</t>
    </rPh>
    <rPh sb="5" eb="7">
      <t>タンラク</t>
    </rPh>
    <rPh sb="7" eb="9">
      <t>デンリュウ</t>
    </rPh>
    <phoneticPr fontId="1"/>
  </si>
  <si>
    <t>高圧カットアウト
（ヒューズ　　　A）</t>
    <rPh sb="0" eb="2">
      <t>コウアツ</t>
    </rPh>
    <phoneticPr fontId="1"/>
  </si>
  <si>
    <t>許容短絡電流</t>
    <rPh sb="0" eb="2">
      <t>キョヨウ</t>
    </rPh>
    <rPh sb="2" eb="4">
      <t>タンラク</t>
    </rPh>
    <rPh sb="4" eb="6">
      <t>デンリュウ</t>
    </rPh>
    <phoneticPr fontId="1"/>
  </si>
  <si>
    <t>実効値換算　8kA
　20kA/1.8√2＝7.8kA</t>
    <rPh sb="0" eb="2">
      <t>ジッコウ</t>
    </rPh>
    <rPh sb="2" eb="3">
      <t>チ</t>
    </rPh>
    <rPh sb="3" eb="5">
      <t>カンザン</t>
    </rPh>
    <phoneticPr fontId="1"/>
  </si>
  <si>
    <t>ＯＣＳ</t>
    <phoneticPr fontId="1"/>
  </si>
  <si>
    <t>ＣＴ
（エポキシモールド）</t>
    <phoneticPr fontId="1"/>
  </si>
  <si>
    <t>kA</t>
    <phoneticPr fontId="1"/>
  </si>
  <si>
    <t>kV</t>
    <phoneticPr fontId="1"/>
  </si>
  <si>
    <t>A</t>
    <phoneticPr fontId="1"/>
  </si>
  <si>
    <t>（T）</t>
    <phoneticPr fontId="1"/>
  </si>
  <si>
    <t>保護装置動作時間の説明（ＣＢ形）</t>
    <rPh sb="0" eb="2">
      <t>ホゴ</t>
    </rPh>
    <rPh sb="2" eb="4">
      <t>ソ</t>
    </rPh>
    <rPh sb="4" eb="6">
      <t>ドウサ</t>
    </rPh>
    <rPh sb="6" eb="8">
      <t>ジカン</t>
    </rPh>
    <rPh sb="9" eb="11">
      <t>セツメイ</t>
    </rPh>
    <rPh sb="14" eb="15">
      <t>カタ</t>
    </rPh>
    <phoneticPr fontId="1"/>
  </si>
  <si>
    <t>受電用遮断器許容全遮断時間</t>
    <rPh sb="0" eb="2">
      <t>ジュデン</t>
    </rPh>
    <rPh sb="2" eb="3">
      <t>ヨウ</t>
    </rPh>
    <rPh sb="3" eb="6">
      <t>シャダンキ</t>
    </rPh>
    <rPh sb="6" eb="8">
      <t>キョヨウ</t>
    </rPh>
    <rPh sb="8" eb="9">
      <t>ゼン</t>
    </rPh>
    <rPh sb="9" eb="11">
      <t>シャダン</t>
    </rPh>
    <rPh sb="11" eb="13">
      <t>ジカン</t>
    </rPh>
    <phoneticPr fontId="1"/>
  </si>
  <si>
    <t>受電点単相不完全短絡電流</t>
    <rPh sb="0" eb="2">
      <t>ジュデン</t>
    </rPh>
    <rPh sb="2" eb="3">
      <t>テン</t>
    </rPh>
    <rPh sb="3" eb="4">
      <t>タン</t>
    </rPh>
    <rPh sb="4" eb="5">
      <t>ソウ</t>
    </rPh>
    <rPh sb="5" eb="8">
      <t>フカンゼン</t>
    </rPh>
    <rPh sb="8" eb="10">
      <t>タンラク</t>
    </rPh>
    <rPh sb="10" eb="12">
      <t>デンリュウ</t>
    </rPh>
    <phoneticPr fontId="1"/>
  </si>
  <si>
    <t>変圧器励磁突入電流最大値</t>
    <rPh sb="0" eb="3">
      <t>ヘンアツキ</t>
    </rPh>
    <rPh sb="3" eb="5">
      <t>レイジ</t>
    </rPh>
    <rPh sb="5" eb="7">
      <t>トツニュウ</t>
    </rPh>
    <rPh sb="7" eb="9">
      <t>デンリュウ</t>
    </rPh>
    <rPh sb="9" eb="12">
      <t>サイダイチ</t>
    </rPh>
    <phoneticPr fontId="1"/>
  </si>
  <si>
    <t>協調材料</t>
    <rPh sb="0" eb="1">
      <t>キョウ</t>
    </rPh>
    <rPh sb="1" eb="2">
      <t>チョウ</t>
    </rPh>
    <rPh sb="2" eb="3">
      <t>ザイ</t>
    </rPh>
    <rPh sb="3" eb="4">
      <t>リョウ</t>
    </rPh>
    <phoneticPr fontId="1"/>
  </si>
  <si>
    <t>ＯＣＲ用ＣＴ</t>
    <rPh sb="3" eb="4">
      <t>ヨウ</t>
    </rPh>
    <phoneticPr fontId="1"/>
  </si>
  <si>
    <t>Ｏ　Ｃ　Ｒ</t>
    <phoneticPr fontId="1"/>
  </si>
  <si>
    <t>瞬時要素</t>
    <rPh sb="0" eb="2">
      <t>シュンジ</t>
    </rPh>
    <rPh sb="2" eb="4">
      <t>ヨウソ</t>
    </rPh>
    <phoneticPr fontId="1"/>
  </si>
  <si>
    <t>限時要素</t>
    <rPh sb="0" eb="2">
      <t>ゲンジ</t>
    </rPh>
    <rPh sb="2" eb="4">
      <t>ヨウソ</t>
    </rPh>
    <phoneticPr fontId="1"/>
  </si>
  <si>
    <t>Ｃ　Ｂ</t>
    <phoneticPr fontId="1"/>
  </si>
  <si>
    <t>遮断時間</t>
    <rPh sb="0" eb="2">
      <t>シャダン</t>
    </rPh>
    <rPh sb="2" eb="4">
      <t>ジカン</t>
    </rPh>
    <phoneticPr fontId="1"/>
  </si>
  <si>
    <t>変成比（ｎ）</t>
    <rPh sb="0" eb="2">
      <t>ヘンセイ</t>
    </rPh>
    <rPh sb="2" eb="3">
      <t>ヒ</t>
    </rPh>
    <phoneticPr fontId="1"/>
  </si>
  <si>
    <t>定格過電流定数
（ＯＣＣ）</t>
    <rPh sb="0" eb="2">
      <t>テイカク</t>
    </rPh>
    <rPh sb="2" eb="3">
      <t>カ</t>
    </rPh>
    <rPh sb="3" eb="5">
      <t>デンリュウ</t>
    </rPh>
    <rPh sb="5" eb="7">
      <t>テイスウ</t>
    </rPh>
    <phoneticPr fontId="1"/>
  </si>
  <si>
    <t>（ＯＣＣ）・（ＣＴ定格一次電流）</t>
    <rPh sb="9" eb="11">
      <t>テイカク</t>
    </rPh>
    <rPh sb="11" eb="13">
      <t>イチジ</t>
    </rPh>
    <rPh sb="13" eb="15">
      <t>デンリュウ</t>
    </rPh>
    <phoneticPr fontId="1"/>
  </si>
  <si>
    <t>動作電流
（高圧側）Ｉｔ</t>
    <rPh sb="0" eb="2">
      <t>ドウサ</t>
    </rPh>
    <rPh sb="2" eb="4">
      <t>デンリュウ</t>
    </rPh>
    <rPh sb="6" eb="8">
      <t>コウアツ</t>
    </rPh>
    <rPh sb="8" eb="9">
      <t>ガワ</t>
    </rPh>
    <phoneticPr fontId="1"/>
  </si>
  <si>
    <t>動作時間</t>
    <rPh sb="0" eb="2">
      <t>ドウサ</t>
    </rPh>
    <rPh sb="2" eb="4">
      <t>ジカン</t>
    </rPh>
    <phoneticPr fontId="1"/>
  </si>
  <si>
    <t>ＣＴの電流定数より定まる</t>
    <rPh sb="3" eb="5">
      <t>デンリュウ</t>
    </rPh>
    <rPh sb="5" eb="7">
      <t>テイスウ</t>
    </rPh>
    <rPh sb="9" eb="10">
      <t>サダ</t>
    </rPh>
    <phoneticPr fontId="1"/>
  </si>
  <si>
    <t>高圧側許容電流Ｉｃ</t>
    <rPh sb="0" eb="2">
      <t>コウアツ</t>
    </rPh>
    <rPh sb="2" eb="3">
      <t>ガワ</t>
    </rPh>
    <rPh sb="3" eb="5">
      <t>キョヨウ</t>
    </rPh>
    <rPh sb="5" eb="7">
      <t>デンリュウ</t>
    </rPh>
    <phoneticPr fontId="1"/>
  </si>
  <si>
    <t>励磁突入電流値〔A〕</t>
    <rPh sb="0" eb="2">
      <t>レイジ</t>
    </rPh>
    <rPh sb="2" eb="4">
      <t>トツニュウ</t>
    </rPh>
    <rPh sb="4" eb="6">
      <t>デンリュウ</t>
    </rPh>
    <rPh sb="6" eb="7">
      <t>チ</t>
    </rPh>
    <phoneticPr fontId="1"/>
  </si>
  <si>
    <t>キュービクル</t>
    <phoneticPr fontId="1"/>
  </si>
  <si>
    <t>№</t>
    <phoneticPr fontId="1"/>
  </si>
  <si>
    <t>群</t>
    <rPh sb="0" eb="1">
      <t>グン</t>
    </rPh>
    <phoneticPr fontId="1"/>
  </si>
  <si>
    <t>変圧器容量</t>
    <rPh sb="0" eb="3">
      <t>ヘンアツキ</t>
    </rPh>
    <rPh sb="3" eb="5">
      <t>ヨウリョウ</t>
    </rPh>
    <phoneticPr fontId="1"/>
  </si>
  <si>
    <t>波高値</t>
    <rPh sb="0" eb="2">
      <t>ハコウ</t>
    </rPh>
    <rPh sb="2" eb="3">
      <t>チ</t>
    </rPh>
    <phoneticPr fontId="1"/>
  </si>
  <si>
    <t>実効電流</t>
    <rPh sb="0" eb="2">
      <t>ジッコウ</t>
    </rPh>
    <rPh sb="2" eb="4">
      <t>デンリュウ</t>
    </rPh>
    <phoneticPr fontId="1"/>
  </si>
  <si>
    <t>〔kVA〕</t>
    <phoneticPr fontId="1"/>
  </si>
  <si>
    <t>〔A〕</t>
    <phoneticPr fontId="1"/>
  </si>
  <si>
    <t>倍数Ｋ</t>
    <rPh sb="0" eb="2">
      <t>バイスウ</t>
    </rPh>
    <phoneticPr fontId="1"/>
  </si>
  <si>
    <t>①</t>
    <phoneticPr fontId="1"/>
  </si>
  <si>
    <t>②</t>
    <phoneticPr fontId="1"/>
  </si>
  <si>
    <t>③</t>
    <phoneticPr fontId="1"/>
  </si>
  <si>
    <t>投入</t>
    <rPh sb="0" eb="2">
      <t>トウニュウ</t>
    </rPh>
    <phoneticPr fontId="1"/>
  </si>
  <si>
    <t>順位</t>
    <rPh sb="0" eb="2">
      <t>ジュンイ</t>
    </rPh>
    <phoneticPr fontId="1"/>
  </si>
  <si>
    <t>変圧器群の段階投入検討調書</t>
    <rPh sb="0" eb="3">
      <t>ヘンアツキ</t>
    </rPh>
    <rPh sb="3" eb="4">
      <t>グン</t>
    </rPh>
    <rPh sb="5" eb="7">
      <t>ダンカイ</t>
    </rPh>
    <rPh sb="7" eb="9">
      <t>トウニュウ</t>
    </rPh>
    <rPh sb="9" eb="11">
      <t>ケントウ</t>
    </rPh>
    <rPh sb="11" eb="13">
      <t>チョウショ</t>
    </rPh>
    <phoneticPr fontId="1"/>
  </si>
  <si>
    <t>合　計</t>
    <rPh sb="0" eb="1">
      <t>ゴウ</t>
    </rPh>
    <rPh sb="2" eb="3">
      <t>ケイ</t>
    </rPh>
    <phoneticPr fontId="1"/>
  </si>
  <si>
    <t>№1</t>
    <phoneticPr fontId="1"/>
  </si>
  <si>
    <t>№2</t>
  </si>
  <si>
    <t>№3</t>
  </si>
  <si>
    <t>№4</t>
  </si>
  <si>
    <t>変圧器群励磁突入電流計算表</t>
    <rPh sb="0" eb="3">
      <t>ヘンアツキ</t>
    </rPh>
    <rPh sb="3" eb="4">
      <t>グン</t>
    </rPh>
    <rPh sb="4" eb="6">
      <t>レイジ</t>
    </rPh>
    <rPh sb="6" eb="8">
      <t>トツニュウ</t>
    </rPh>
    <rPh sb="8" eb="10">
      <t>デンリュウ</t>
    </rPh>
    <rPh sb="10" eb="12">
      <t>ケイサン</t>
    </rPh>
    <rPh sb="12" eb="13">
      <t>ヒョウ</t>
    </rPh>
    <phoneticPr fontId="1"/>
  </si>
  <si>
    <t>10,15,20,25,30,35,40,50,60</t>
    <phoneticPr fontId="1"/>
  </si>
  <si>
    <t>3, 3.5, 4, 4.5, 5, 6</t>
    <phoneticPr fontId="1"/>
  </si>
  <si>
    <t>0.25, 0.5, 1, 1.5, 2, 2.5
3, 3.5, 4 ～ 10, 20</t>
    <phoneticPr fontId="1"/>
  </si>
  <si>
    <t>3Hzを換算</t>
    <rPh sb="4" eb="6">
      <t>カンザン</t>
    </rPh>
    <phoneticPr fontId="1"/>
  </si>
  <si>
    <t>ＯＣＣ　＞</t>
    <phoneticPr fontId="1"/>
  </si>
  <si>
    <r>
      <t>ｔ</t>
    </r>
    <r>
      <rPr>
        <sz val="6"/>
        <rFont val="ＭＳ 明朝"/>
        <family val="1"/>
        <charset val="128"/>
      </rPr>
      <t>1　</t>
    </r>
    <r>
      <rPr>
        <sz val="11"/>
        <rFont val="ＭＳ 明朝"/>
        <family val="1"/>
        <charset val="128"/>
      </rPr>
      <t>＝</t>
    </r>
    <phoneticPr fontId="1"/>
  </si>
  <si>
    <r>
      <t>ｔ</t>
    </r>
    <r>
      <rPr>
        <sz val="6"/>
        <rFont val="ＭＳ 明朝"/>
        <family val="1"/>
        <charset val="128"/>
      </rPr>
      <t>2　</t>
    </r>
    <r>
      <rPr>
        <sz val="11"/>
        <rFont val="ＭＳ 明朝"/>
        <family val="1"/>
        <charset val="128"/>
      </rPr>
      <t>＝</t>
    </r>
    <phoneticPr fontId="1"/>
  </si>
  <si>
    <t>敷設方法：１条管路式
損 失 率：1.0</t>
    <rPh sb="0" eb="2">
      <t>フセツ</t>
    </rPh>
    <rPh sb="2" eb="4">
      <t>ホウホウ</t>
    </rPh>
    <rPh sb="6" eb="7">
      <t>ジョウ</t>
    </rPh>
    <rPh sb="7" eb="9">
      <t>カンロ</t>
    </rPh>
    <rPh sb="9" eb="10">
      <t>シキ</t>
    </rPh>
    <rPh sb="11" eb="12">
      <t>ソン</t>
    </rPh>
    <rPh sb="13" eb="14">
      <t>シツ</t>
    </rPh>
    <rPh sb="15" eb="16">
      <t>リツ</t>
    </rPh>
    <phoneticPr fontId="1"/>
  </si>
  <si>
    <t>ＶＣＢ</t>
    <phoneticPr fontId="1"/>
  </si>
  <si>
    <t>Ｋ＝8.0～24.0</t>
    <phoneticPr fontId="1"/>
  </si>
  <si>
    <t>τ＝6.0のαを採用</t>
    <rPh sb="8" eb="10">
      <t>サイヨウ</t>
    </rPh>
    <phoneticPr fontId="1"/>
  </si>
  <si>
    <t>換算係数α</t>
    <rPh sb="0" eb="2">
      <t>カンザン</t>
    </rPh>
    <rPh sb="2" eb="4">
      <t>ケイスウ</t>
    </rPh>
    <phoneticPr fontId="1"/>
  </si>
  <si>
    <t>メーカー　／　型式</t>
    <rPh sb="7" eb="9">
      <t>カタシキ</t>
    </rPh>
    <phoneticPr fontId="1"/>
  </si>
  <si>
    <t>τ＝3.0～10.4</t>
    <phoneticPr fontId="1"/>
  </si>
  <si>
    <t>Ｋ＝10.0～20.0</t>
    <phoneticPr fontId="1"/>
  </si>
  <si>
    <t>τ＝2.1～11.3</t>
    <phoneticPr fontId="1"/>
  </si>
  <si>
    <t>データ入力セル</t>
    <rPh sb="3" eb="5">
      <t>ニュウリョク</t>
    </rPh>
    <phoneticPr fontId="1"/>
  </si>
  <si>
    <t>①</t>
    <phoneticPr fontId="1"/>
  </si>
  <si>
    <t>①</t>
    <phoneticPr fontId="1"/>
  </si>
  <si>
    <t>二次母線短絡に対する保護</t>
    <rPh sb="0" eb="2">
      <t>ニジ</t>
    </rPh>
    <rPh sb="2" eb="4">
      <t>ボセン</t>
    </rPh>
    <rPh sb="4" eb="6">
      <t>タンラク</t>
    </rPh>
    <rPh sb="7" eb="8">
      <t>タイ</t>
    </rPh>
    <rPh sb="10" eb="12">
      <t>ホゴ</t>
    </rPh>
    <phoneticPr fontId="1"/>
  </si>
  <si>
    <t>３相</t>
    <rPh sb="1" eb="2">
      <t>ソウ</t>
    </rPh>
    <phoneticPr fontId="1"/>
  </si>
  <si>
    <t>単相</t>
    <rPh sb="0" eb="2">
      <t>タンソウ</t>
    </rPh>
    <phoneticPr fontId="1"/>
  </si>
  <si>
    <t>電線サイズ</t>
    <rPh sb="0" eb="2">
      <t>デンセン</t>
    </rPh>
    <phoneticPr fontId="1"/>
  </si>
  <si>
    <t>許容短絡電流（0.1秒）</t>
    <rPh sb="0" eb="2">
      <t>キョヨウ</t>
    </rPh>
    <rPh sb="2" eb="4">
      <t>タンラク</t>
    </rPh>
    <rPh sb="4" eb="6">
      <t>デンリュウ</t>
    </rPh>
    <rPh sb="10" eb="11">
      <t>ビョウ</t>
    </rPh>
    <phoneticPr fontId="1"/>
  </si>
  <si>
    <t>二次</t>
    <rPh sb="0" eb="2">
      <t>ニジ</t>
    </rPh>
    <phoneticPr fontId="1"/>
  </si>
  <si>
    <t>母線</t>
    <rPh sb="0" eb="2">
      <t>ボセン</t>
    </rPh>
    <phoneticPr fontId="1"/>
  </si>
  <si>
    <t>合成％Ｚ</t>
    <rPh sb="0" eb="2">
      <t>ゴウセイ</t>
    </rPh>
    <phoneticPr fontId="1"/>
  </si>
  <si>
    <t>変圧器定格一次電流</t>
    <rPh sb="0" eb="3">
      <t>ヘンアツキ</t>
    </rPh>
    <rPh sb="3" eb="5">
      <t>テイカク</t>
    </rPh>
    <rPh sb="5" eb="7">
      <t>イチジ</t>
    </rPh>
    <rPh sb="7" eb="9">
      <t>デンリュウ</t>
    </rPh>
    <phoneticPr fontId="1"/>
  </si>
  <si>
    <t>変圧器保護</t>
    <rPh sb="0" eb="3">
      <t>ヘンアツキ</t>
    </rPh>
    <rPh sb="3" eb="5">
      <t>ホゴ</t>
    </rPh>
    <phoneticPr fontId="1"/>
  </si>
  <si>
    <t>二次母線保護</t>
    <rPh sb="0" eb="2">
      <t>ニジ</t>
    </rPh>
    <rPh sb="2" eb="4">
      <t>ボセン</t>
    </rPh>
    <rPh sb="4" eb="6">
      <t>ホゴ</t>
    </rPh>
    <phoneticPr fontId="1"/>
  </si>
  <si>
    <t>判定</t>
    <rPh sb="0" eb="2">
      <t>ハンテイ</t>
    </rPh>
    <phoneticPr fontId="1"/>
  </si>
  <si>
    <t>二次母線短絡電流（高圧側）</t>
    <rPh sb="0" eb="2">
      <t>ニジ</t>
    </rPh>
    <rPh sb="2" eb="4">
      <t>ボセン</t>
    </rPh>
    <rPh sb="4" eb="6">
      <t>タンラク</t>
    </rPh>
    <rPh sb="6" eb="8">
      <t>デンリュウ</t>
    </rPh>
    <phoneticPr fontId="1"/>
  </si>
  <si>
    <t>二次母線短絡電流（低圧側）</t>
    <rPh sb="0" eb="2">
      <t>ニジ</t>
    </rPh>
    <rPh sb="2" eb="4">
      <t>ボセン</t>
    </rPh>
    <rPh sb="4" eb="6">
      <t>タンラク</t>
    </rPh>
    <rPh sb="6" eb="8">
      <t>デンリュウ</t>
    </rPh>
    <phoneticPr fontId="1"/>
  </si>
  <si>
    <t>変　圧　器　容　量</t>
    <rPh sb="0" eb="1">
      <t>ヘン</t>
    </rPh>
    <rPh sb="2" eb="3">
      <t>アツ</t>
    </rPh>
    <rPh sb="4" eb="5">
      <t>ウツワ</t>
    </rPh>
    <rPh sb="6" eb="7">
      <t>カタチ</t>
    </rPh>
    <rPh sb="8" eb="9">
      <t>リョウ</t>
    </rPh>
    <phoneticPr fontId="1"/>
  </si>
  <si>
    <t>10000kVA</t>
    <phoneticPr fontId="1"/>
  </si>
  <si>
    <t>３相短絡容量計算書による</t>
    <rPh sb="1" eb="2">
      <t>ソウ</t>
    </rPh>
    <rPh sb="2" eb="4">
      <t>タンラク</t>
    </rPh>
    <rPh sb="4" eb="6">
      <t>ヨウリョウ</t>
    </rPh>
    <rPh sb="6" eb="8">
      <t>ケイサン</t>
    </rPh>
    <rPh sb="8" eb="9">
      <t>ショ</t>
    </rPh>
    <phoneticPr fontId="1"/>
  </si>
  <si>
    <t>変圧器の銘板に記載値</t>
    <rPh sb="0" eb="3">
      <t>ヘンアツキ</t>
    </rPh>
    <rPh sb="4" eb="6">
      <t>メイバン</t>
    </rPh>
    <rPh sb="7" eb="9">
      <t>キサイ</t>
    </rPh>
    <rPh sb="9" eb="10">
      <t>チ</t>
    </rPh>
    <phoneticPr fontId="1"/>
  </si>
  <si>
    <r>
      <t xml:space="preserve">高圧側％Ｚ（10,000kVA） </t>
    </r>
    <r>
      <rPr>
        <sz val="11"/>
        <rFont val="ＭＳ ゴシック"/>
        <family val="3"/>
        <charset val="128"/>
      </rPr>
      <t>a</t>
    </r>
    <rPh sb="0" eb="2">
      <t>コウアツ</t>
    </rPh>
    <rPh sb="2" eb="3">
      <t>ガワ</t>
    </rPh>
    <phoneticPr fontId="1"/>
  </si>
  <si>
    <r>
      <t xml:space="preserve">変圧器％Ｚ（10,000kVA） </t>
    </r>
    <r>
      <rPr>
        <sz val="11"/>
        <rFont val="ＭＳ ゴシック"/>
        <family val="3"/>
        <charset val="128"/>
      </rPr>
      <t>b</t>
    </r>
    <rPh sb="0" eb="2">
      <t>ヘンアツ</t>
    </rPh>
    <rPh sb="2" eb="3">
      <t>キ</t>
    </rPh>
    <phoneticPr fontId="1"/>
  </si>
  <si>
    <t>√3×6.6kV</t>
    <phoneticPr fontId="1"/>
  </si>
  <si>
    <t>10000kVA</t>
  </si>
  <si>
    <t>%</t>
    <phoneticPr fontId="1"/>
  </si>
  <si>
    <t>ＰＣ取付</t>
    <rPh sb="2" eb="4">
      <t>トリツケ</t>
    </rPh>
    <phoneticPr fontId="1"/>
  </si>
  <si>
    <t>母線保護</t>
    <rPh sb="0" eb="2">
      <t>ボセン</t>
    </rPh>
    <rPh sb="2" eb="4">
      <t>ホゴ</t>
    </rPh>
    <phoneticPr fontId="1"/>
  </si>
  <si>
    <t>遮断時間に対する二次母線の</t>
    <rPh sb="0" eb="2">
      <t>シャダン</t>
    </rPh>
    <rPh sb="2" eb="4">
      <t>ジカン</t>
    </rPh>
    <rPh sb="5" eb="6">
      <t>タイ</t>
    </rPh>
    <rPh sb="8" eb="10">
      <t>ニジ</t>
    </rPh>
    <rPh sb="10" eb="12">
      <t>ボセン</t>
    </rPh>
    <phoneticPr fontId="1"/>
  </si>
  <si>
    <t>許容電流は</t>
    <rPh sb="0" eb="2">
      <t>キョヨウ</t>
    </rPh>
    <rPh sb="2" eb="4">
      <t>デンリュウ</t>
    </rPh>
    <phoneticPr fontId="1"/>
  </si>
  <si>
    <t>遮断時間はカタログの特性曲線から求める</t>
    <rPh sb="0" eb="2">
      <t>シャダン</t>
    </rPh>
    <rPh sb="2" eb="4">
      <t>ジカン</t>
    </rPh>
    <phoneticPr fontId="1"/>
  </si>
  <si>
    <t>（３相換算）</t>
    <rPh sb="2" eb="3">
      <t>ソウ</t>
    </rPh>
    <rPh sb="3" eb="5">
      <t>カンザン</t>
    </rPh>
    <phoneticPr fontId="1"/>
  </si>
  <si>
    <r>
      <t>A</t>
    </r>
    <r>
      <rPr>
        <sz val="8"/>
        <rFont val="ＭＳ 明朝"/>
        <family val="1"/>
        <charset val="128"/>
      </rPr>
      <t>（３相換算）</t>
    </r>
    <rPh sb="3" eb="4">
      <t>ソウ</t>
    </rPh>
    <rPh sb="4" eb="6">
      <t>カンザン</t>
    </rPh>
    <phoneticPr fontId="1"/>
  </si>
  <si>
    <r>
      <t>A</t>
    </r>
    <r>
      <rPr>
        <sz val="8"/>
        <rFont val="ＭＳ 明朝"/>
        <family val="1"/>
        <charset val="128"/>
      </rPr>
      <t>（単相電流）</t>
    </r>
    <rPh sb="2" eb="4">
      <t>タンソウ</t>
    </rPh>
    <rPh sb="4" eb="6">
      <t>デンリュウ</t>
    </rPh>
    <phoneticPr fontId="1"/>
  </si>
  <si>
    <t>A</t>
    <phoneticPr fontId="1"/>
  </si>
  <si>
    <r>
      <t>a</t>
    </r>
    <r>
      <rPr>
        <sz val="11"/>
        <rFont val="ＭＳ 明朝"/>
        <family val="1"/>
        <charset val="128"/>
      </rPr>
      <t xml:space="preserve"> + </t>
    </r>
    <r>
      <rPr>
        <sz val="11"/>
        <rFont val="ＭＳ ゴシック"/>
        <family val="3"/>
        <charset val="128"/>
      </rPr>
      <t>b</t>
    </r>
    <phoneticPr fontId="1"/>
  </si>
  <si>
    <t>%</t>
    <phoneticPr fontId="1"/>
  </si>
  <si>
    <t>A</t>
    <phoneticPr fontId="1"/>
  </si>
  <si>
    <t>＝</t>
    <phoneticPr fontId="1"/>
  </si>
  <si>
    <t>A</t>
    <phoneticPr fontId="1"/>
  </si>
  <si>
    <t>×√3／2</t>
    <phoneticPr fontId="1"/>
  </si>
  <si>
    <t>PF 40A</t>
    <phoneticPr fontId="1"/>
  </si>
  <si>
    <t>PF 40A</t>
    <phoneticPr fontId="1"/>
  </si>
  <si>
    <t>PF   A</t>
    <phoneticPr fontId="1"/>
  </si>
  <si>
    <t>…→</t>
    <phoneticPr fontId="1"/>
  </si>
  <si>
    <t>kVA</t>
    <phoneticPr fontId="1"/>
  </si>
  <si>
    <t>ＨＩＶ</t>
    <phoneticPr fontId="1"/>
  </si>
  <si>
    <r>
      <t>m</t>
    </r>
    <r>
      <rPr>
        <sz val="10"/>
        <rFont val="ＭＳ 明朝"/>
        <family val="1"/>
        <charset val="128"/>
      </rPr>
      <t>㎡
（250×2）</t>
    </r>
    <phoneticPr fontId="1"/>
  </si>
  <si>
    <r>
      <t>m</t>
    </r>
    <r>
      <rPr>
        <sz val="10"/>
        <rFont val="ＭＳ 明朝"/>
        <family val="1"/>
        <charset val="128"/>
      </rPr>
      <t>㎡
（200×2）</t>
    </r>
    <phoneticPr fontId="1"/>
  </si>
  <si>
    <t>PF   A</t>
    <phoneticPr fontId="1"/>
  </si>
  <si>
    <t>メモ入力セル</t>
    <rPh sb="2" eb="4">
      <t>ニュウリョク</t>
    </rPh>
    <phoneticPr fontId="1"/>
  </si>
  <si>
    <t>同時投入時の合計</t>
    <rPh sb="0" eb="2">
      <t>ドウジ</t>
    </rPh>
    <rPh sb="2" eb="4">
      <t>トウニュウ</t>
    </rPh>
    <rPh sb="4" eb="5">
      <t>トキ</t>
    </rPh>
    <rPh sb="6" eb="8">
      <t>ゴウケイ</t>
    </rPh>
    <phoneticPr fontId="1"/>
  </si>
  <si>
    <t>Ａショップ　Ａ店</t>
    <rPh sb="7" eb="8">
      <t>テン</t>
    </rPh>
    <phoneticPr fontId="1"/>
  </si>
  <si>
    <t>左表は「Ｔｒ群」</t>
    <rPh sb="0" eb="1">
      <t>ヒダリ</t>
    </rPh>
    <rPh sb="1" eb="2">
      <t>ヒョウ</t>
    </rPh>
    <rPh sb="6" eb="7">
      <t>グン</t>
    </rPh>
    <phoneticPr fontId="1"/>
  </si>
  <si>
    <t>シートを図形表示</t>
    <rPh sb="4" eb="6">
      <t>ズケイ</t>
    </rPh>
    <rPh sb="6" eb="8">
      <t>ヒョウジ</t>
    </rPh>
    <phoneticPr fontId="1"/>
  </si>
  <si>
    <t>ＯＣＣ　n ＞</t>
    <phoneticPr fontId="1"/>
  </si>
  <si>
    <t>参考</t>
    <rPh sb="0" eb="2">
      <t>サンコウ</t>
    </rPh>
    <phoneticPr fontId="1"/>
  </si>
  <si>
    <t>①群投入（最大）の場合</t>
    <rPh sb="1" eb="2">
      <t>グン</t>
    </rPh>
    <rPh sb="2" eb="4">
      <t>トウニュウ</t>
    </rPh>
    <rPh sb="5" eb="7">
      <t>サイダイ</t>
    </rPh>
    <rPh sb="9" eb="11">
      <t>バアイ</t>
    </rPh>
    <phoneticPr fontId="1"/>
  </si>
  <si>
    <t>②</t>
    <phoneticPr fontId="1"/>
  </si>
  <si>
    <t>Ｋ＝10.0～20.0</t>
    <phoneticPr fontId="1"/>
  </si>
  <si>
    <t>τ＝2.1～11.3</t>
    <phoneticPr fontId="1"/>
  </si>
  <si>
    <t>Ｋ＝9.0～21.0</t>
    <phoneticPr fontId="1"/>
  </si>
  <si>
    <t>τ＝4.0～13.4</t>
    <phoneticPr fontId="1"/>
  </si>
  <si>
    <t>同上</t>
    <rPh sb="0" eb="1">
      <t>ドウ</t>
    </rPh>
    <rPh sb="1" eb="2">
      <t>ウエ</t>
    </rPh>
    <phoneticPr fontId="1"/>
  </si>
  <si>
    <t>Ｋ＝12.0～28.0</t>
    <phoneticPr fontId="1"/>
  </si>
  <si>
    <t>τ＝2.0～10.1</t>
    <phoneticPr fontId="1"/>
  </si>
  <si>
    <t>Ｋ＝8.7～18.0</t>
    <phoneticPr fontId="1"/>
  </si>
  <si>
    <t>τ＝2.5～13.4</t>
    <phoneticPr fontId="1"/>
  </si>
  <si>
    <t>1φ100</t>
    <phoneticPr fontId="1"/>
  </si>
  <si>
    <t>1φ300</t>
    <phoneticPr fontId="1"/>
  </si>
  <si>
    <t>3φ300</t>
    <phoneticPr fontId="1"/>
  </si>
  <si>
    <t>3φ500</t>
    <phoneticPr fontId="1"/>
  </si>
  <si>
    <t>実効値換算　0.6kA
　1.5kA/1.8√2＝0.58kA</t>
    <rPh sb="0" eb="2">
      <t>ジッコウ</t>
    </rPh>
    <rPh sb="2" eb="3">
      <t>チ</t>
    </rPh>
    <rPh sb="3" eb="5">
      <t>カンザン</t>
    </rPh>
    <phoneticPr fontId="1"/>
  </si>
  <si>
    <t>0.2秒換算値</t>
    <rPh sb="3" eb="4">
      <t>ビョウ</t>
    </rPh>
    <rPh sb="4" eb="6">
      <t>カンザン</t>
    </rPh>
    <rPh sb="6" eb="7">
      <t>チ</t>
    </rPh>
    <phoneticPr fontId="1"/>
  </si>
  <si>
    <t>引込用
ＣＶＴケーブル
（6.6kV　60sq）</t>
    <rPh sb="0" eb="2">
      <t>ヒキコミ</t>
    </rPh>
    <rPh sb="2" eb="3">
      <t>ヨウ</t>
    </rPh>
    <phoneticPr fontId="1"/>
  </si>
  <si>
    <t>整定 6600V容量</t>
    <rPh sb="0" eb="2">
      <t>セイテイ</t>
    </rPh>
    <rPh sb="8" eb="10">
      <t>ヨウリョウ</t>
    </rPh>
    <phoneticPr fontId="1"/>
  </si>
  <si>
    <t>CT比</t>
    <rPh sb="2" eb="3">
      <t>ヒ</t>
    </rPh>
    <phoneticPr fontId="1"/>
  </si>
  <si>
    <t>整定値</t>
    <rPh sb="0" eb="2">
      <t>セイテイ</t>
    </rPh>
    <rPh sb="2" eb="3">
      <t>チ</t>
    </rPh>
    <phoneticPr fontId="1"/>
  </si>
  <si>
    <t>限時要素整定値検討欄</t>
    <rPh sb="0" eb="2">
      <t>ゲンジ</t>
    </rPh>
    <rPh sb="2" eb="4">
      <t>ヨウソ</t>
    </rPh>
    <rPh sb="4" eb="6">
      <t>セイテイ</t>
    </rPh>
    <rPh sb="6" eb="7">
      <t>チ</t>
    </rPh>
    <rPh sb="7" eb="9">
      <t>ケントウ</t>
    </rPh>
    <rPh sb="9" eb="10">
      <t>ラン</t>
    </rPh>
    <phoneticPr fontId="1"/>
  </si>
  <si>
    <t>ＯＣＳ ＜ 熱的</t>
    <rPh sb="6" eb="8">
      <t>ネツテキ</t>
    </rPh>
    <phoneticPr fontId="1"/>
  </si>
  <si>
    <t>ＯＣＳ ＜ 機械的</t>
    <rPh sb="6" eb="8">
      <t>キカイ</t>
    </rPh>
    <rPh sb="8" eb="9">
      <t>テキ</t>
    </rPh>
    <phoneticPr fontId="1"/>
  </si>
  <si>
    <t>不可の</t>
    <rPh sb="0" eb="2">
      <t>フカ</t>
    </rPh>
    <phoneticPr fontId="1"/>
  </si>
  <si>
    <t>場合</t>
    <rPh sb="0" eb="2">
      <t>バアイ</t>
    </rPh>
    <phoneticPr fontId="1"/>
  </si>
  <si>
    <t>←</t>
    <phoneticPr fontId="1"/>
  </si>
  <si>
    <t>OCS : ____kA / 0.___秒</t>
    <rPh sb="20" eb="21">
      <t>ビョウ</t>
    </rPh>
    <phoneticPr fontId="1"/>
  </si>
  <si>
    <t>機械（波高値）</t>
    <rPh sb="0" eb="2">
      <t>キカイ</t>
    </rPh>
    <rPh sb="3" eb="5">
      <t>ハコウ</t>
    </rPh>
    <rPh sb="5" eb="6">
      <t>チ</t>
    </rPh>
    <phoneticPr fontId="1"/>
  </si>
  <si>
    <t>機械的ＯＣＳは固有の特性値を確認する</t>
    <rPh sb="0" eb="3">
      <t>キカイテキ</t>
    </rPh>
    <rPh sb="7" eb="9">
      <t>コユウ</t>
    </rPh>
    <rPh sb="10" eb="12">
      <t>トクセイ</t>
    </rPh>
    <rPh sb="14" eb="16">
      <t>カクニン</t>
    </rPh>
    <phoneticPr fontId="1"/>
  </si>
  <si>
    <t>左は、三菱 CD-25NB の例（特性表にて 波高値30kA）</t>
    <rPh sb="0" eb="1">
      <t>ヒダリ</t>
    </rPh>
    <rPh sb="3" eb="5">
      <t>ミツビシ</t>
    </rPh>
    <rPh sb="15" eb="16">
      <t>レイ</t>
    </rPh>
    <rPh sb="17" eb="19">
      <t>トクセイ</t>
    </rPh>
    <rPh sb="19" eb="20">
      <t>ヒョウ</t>
    </rPh>
    <rPh sb="23" eb="25">
      <t>ハコウ</t>
    </rPh>
    <rPh sb="25" eb="26">
      <t>チ</t>
    </rPh>
    <phoneticPr fontId="1"/>
  </si>
  <si>
    <t>電流ダイヤル</t>
    <rPh sb="0" eb="2">
      <t>デンリュウ</t>
    </rPh>
    <phoneticPr fontId="1"/>
  </si>
  <si>
    <t>使用ダイヤル</t>
    <rPh sb="0" eb="2">
      <t>シヨウ</t>
    </rPh>
    <phoneticPr fontId="1"/>
  </si>
  <si>
    <t>時限ダイヤル</t>
    <rPh sb="0" eb="2">
      <t>ジゲン</t>
    </rPh>
    <phoneticPr fontId="1"/>
  </si>
  <si>
    <t>OCS,OCCは、カタログ等で確認 … OCSが電流値で記されているときは倍数に換算する</t>
    <rPh sb="13" eb="14">
      <t>トウ</t>
    </rPh>
    <rPh sb="15" eb="17">
      <t>カクニン</t>
    </rPh>
    <rPh sb="24" eb="27">
      <t>デンリュウチ</t>
    </rPh>
    <rPh sb="28" eb="29">
      <t>シル</t>
    </rPh>
    <rPh sb="37" eb="39">
      <t>バイスウ</t>
    </rPh>
    <rPh sb="40" eb="42">
      <t>カンザン</t>
    </rPh>
    <phoneticPr fontId="1"/>
  </si>
  <si>
    <t>≪CVケーブル、銅、0.2秒換算≫</t>
    <rPh sb="8" eb="9">
      <t>ドウ</t>
    </rPh>
    <rPh sb="13" eb="14">
      <t>ビョウ</t>
    </rPh>
    <rPh sb="14" eb="16">
      <t>カンサン</t>
    </rPh>
    <phoneticPr fontId="1"/>
  </si>
  <si>
    <t>太さ</t>
    <rPh sb="0" eb="1">
      <t>フト</t>
    </rPh>
    <phoneticPr fontId="1"/>
  </si>
  <si>
    <t>許容Is</t>
    <rPh sb="0" eb="2">
      <t>キョヨウ</t>
    </rPh>
    <phoneticPr fontId="1"/>
  </si>
  <si>
    <t>※38sq以上は小数点第2位切捨て</t>
    <rPh sb="5" eb="7">
      <t>イジョウ</t>
    </rPh>
    <rPh sb="8" eb="11">
      <t>ショウスウテン</t>
    </rPh>
    <rPh sb="11" eb="12">
      <t>ダイ</t>
    </rPh>
    <rPh sb="13" eb="14">
      <t>イ</t>
    </rPh>
    <rPh sb="14" eb="16">
      <t>キリス</t>
    </rPh>
    <phoneticPr fontId="1"/>
  </si>
  <si>
    <t>「規程」：「高圧受電設備規程」2020</t>
    <rPh sb="1" eb="3">
      <t>キテイ</t>
    </rPh>
    <rPh sb="5" eb="12">
      <t>(コウアツジュデンセツビ</t>
    </rPh>
    <rPh sb="12" eb="14">
      <t>キテイ</t>
    </rPh>
    <phoneticPr fontId="1"/>
  </si>
  <si>
    <t>「規程」資料1-1-1　1.～4.例表</t>
    <rPh sb="1" eb="3">
      <t>キテイ</t>
    </rPh>
    <rPh sb="4" eb="6">
      <t>シリョウ</t>
    </rPh>
    <rPh sb="17" eb="18">
      <t>レイ</t>
    </rPh>
    <rPh sb="18" eb="19">
      <t>ヒョウ</t>
    </rPh>
    <phoneticPr fontId="1"/>
  </si>
  <si>
    <t>「規程」2120-11表の計算式</t>
    <rPh sb="1" eb="3">
      <t>キテイ</t>
    </rPh>
    <rPh sb="11" eb="12">
      <t>ヒョウ</t>
    </rPh>
    <rPh sb="13" eb="16">
      <t>ケイサンシキ</t>
    </rPh>
    <phoneticPr fontId="1"/>
  </si>
  <si>
    <t>別紙 PF特性例図pdf （三菱・エナジーサポート）を参照</t>
    <rPh sb="0" eb="2">
      <t>ベッシ</t>
    </rPh>
    <rPh sb="5" eb="7">
      <t>トクセイ</t>
    </rPh>
    <rPh sb="7" eb="8">
      <t>レイ</t>
    </rPh>
    <rPh sb="8" eb="9">
      <t>ズ</t>
    </rPh>
    <rPh sb="14" eb="16">
      <t>ミツビシ</t>
    </rPh>
    <rPh sb="27" eb="29">
      <t>サンショウ</t>
    </rPh>
    <phoneticPr fontId="1"/>
  </si>
  <si>
    <t>「規程」2120-4表、2120-5表</t>
    <rPh sb="1" eb="3">
      <t>キテイ</t>
    </rPh>
    <rPh sb="10" eb="11">
      <t>ヒョウ</t>
    </rPh>
    <rPh sb="18" eb="19">
      <t>ヒョウ</t>
    </rPh>
    <phoneticPr fontId="1"/>
  </si>
  <si>
    <r>
      <t>ＩＶ（Ｃｕ）以外の場合は、許容電流計算式を</t>
    </r>
    <r>
      <rPr>
        <b/>
        <sz val="11"/>
        <color rgb="FF0000FF"/>
        <rFont val="ＭＳ 明朝"/>
        <family val="1"/>
        <charset val="128"/>
      </rPr>
      <t>「規程」2120-11表</t>
    </r>
    <r>
      <rPr>
        <sz val="11"/>
        <rFont val="ＭＳ 明朝"/>
        <family val="1"/>
        <charset val="128"/>
      </rPr>
      <t>により変更する</t>
    </r>
    <rPh sb="6" eb="8">
      <t>イガイ</t>
    </rPh>
    <rPh sb="9" eb="11">
      <t>バアイ</t>
    </rPh>
    <rPh sb="13" eb="15">
      <t>キョヨウ</t>
    </rPh>
    <rPh sb="15" eb="17">
      <t>デンリュウ</t>
    </rPh>
    <rPh sb="17" eb="19">
      <t>ケイサン</t>
    </rPh>
    <rPh sb="19" eb="20">
      <t>シキ</t>
    </rPh>
    <rPh sb="22" eb="24">
      <t>キテイ</t>
    </rPh>
    <rPh sb="32" eb="33">
      <t>ヒョウ</t>
    </rPh>
    <rPh sb="36" eb="38">
      <t>ヘンコウ</t>
    </rPh>
    <phoneticPr fontId="1"/>
  </si>
  <si>
    <r>
      <t>計算式は</t>
    </r>
    <r>
      <rPr>
        <b/>
        <sz val="11"/>
        <color rgb="FF0000FF"/>
        <rFont val="ＭＳ 明朝"/>
        <family val="1"/>
        <charset val="128"/>
      </rPr>
      <t>「規程」2120-11表</t>
    </r>
    <r>
      <rPr>
        <sz val="11"/>
        <rFont val="ＭＳ 明朝"/>
        <family val="1"/>
        <charset val="128"/>
      </rPr>
      <t>による。</t>
    </r>
    <rPh sb="0" eb="2">
      <t>ケイサン</t>
    </rPh>
    <rPh sb="2" eb="3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</si>
</sst>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176" formatCode="&quot;事業場名　　&quot;@"/>
    <numFmt numFmtId="177" formatCode="0.0&quot; kV &quot;"/>
    <numFmt numFmtId="178" formatCode="0.0&quot; A &quot;"/>
    <numFmt numFmtId="179" formatCode="0&quot; A &quot;"/>
    <numFmt numFmtId="180" formatCode="0&quot; kA &quot;"/>
    <numFmt numFmtId="181" formatCode="0&quot; 倍 &quot;"/>
    <numFmt numFmtId="182" formatCode="0.0&quot; kA &quot;"/>
    <numFmt numFmtId="183" formatCode="&quot;A（３相短絡電流）×0.43＝ &quot;0&quot;A&quot;\ "/>
    <numFmt numFmtId="184" formatCode="0.00&quot;秒以下&quot;"/>
    <numFmt numFmtId="185" formatCode="0_);[Red]\(0\)"/>
    <numFmt numFmtId="186" formatCode="0.000&quot;秒 &quot;"/>
    <numFmt numFmtId="187" formatCode="0.0&quot;倍 &quot;"/>
    <numFmt numFmtId="188" formatCode="0&quot;A &quot;"/>
    <numFmt numFmtId="189" formatCode="0&quot;A＝&quot;"/>
    <numFmt numFmtId="190" formatCode="0&quot;倍×&quot;"/>
    <numFmt numFmtId="191" formatCode="#,##0.0"/>
    <numFmt numFmtId="192" formatCode="0.00_ ;[Red]\-0.00\ "/>
    <numFmt numFmtId="193" formatCode="0.000_ "/>
    <numFmt numFmtId="194" formatCode="0&quot;倍＝&quot;"/>
    <numFmt numFmtId="195" formatCode="0&quot;kVA相当（３φ）&quot;"/>
    <numFmt numFmtId="196" formatCode="0.0_ "/>
    <numFmt numFmtId="197" formatCode="0&quot;kVA&quot;"/>
    <numFmt numFmtId="198" formatCode="&quot;＝&quot;\ 0.0&quot;％&quot;"/>
    <numFmt numFmtId="199" formatCode="&quot;＝&quot;\ 0.00"/>
    <numFmt numFmtId="200" formatCode="0.0&quot;A ×&quot;\ "/>
    <numFmt numFmtId="201" formatCode="&quot;×&quot;0.00&quot;A ×&quot;"/>
    <numFmt numFmtId="202" formatCode="0&quot;V&quot;"/>
    <numFmt numFmtId="203" formatCode="0&quot;%&quot;"/>
    <numFmt numFmtId="204" formatCode="&quot;＝&quot;\ 0.0&quot;%&quot;"/>
    <numFmt numFmtId="205" formatCode="&quot;＝ &quot;#,##0&quot;A&quot;"/>
    <numFmt numFmtId="206" formatCode="0.00&quot;秒&quot;"/>
    <numFmt numFmtId="207" formatCode="#,##0&quot;A&quot;"/>
    <numFmt numFmtId="208" formatCode="0.00&quot;秒間&quot;"/>
    <numFmt numFmtId="209" formatCode="&quot;×&quot;0.0&quot;% ×1/2&quot;"/>
    <numFmt numFmtId="210" formatCode="&quot;×&quot;\ 0.0&quot;%&quot;"/>
    <numFmt numFmtId="211" formatCode="&quot;＝ &quot;0.0\ "/>
    <numFmt numFmtId="212" formatCode="&quot;＝ &quot;0&quot;A&quot;"/>
    <numFmt numFmtId="213" formatCode="0&quot; A ×&quot;"/>
    <numFmt numFmtId="214" formatCode="#,##0&quot;φ&quot;"/>
    <numFmt numFmtId="215" formatCode="&quot;熱的ＯＣＳ≧&quot;0.0"/>
    <numFmt numFmtId="216" formatCode="&quot;機械的ＯＣＳ≧&quot;0.0"/>
    <numFmt numFmtId="217" formatCode="&quot;×&quot;\ 0.00&quot;%&quot;"/>
    <numFmt numFmtId="218" formatCode="&quot;×&quot;0.00&quot;% ×1/2&quot;"/>
    <numFmt numFmtId="219" formatCode="0.0\ &quot;kVA&quot;"/>
    <numFmt numFmtId="220" formatCode="0.0_);[Red]\(0.0\)"/>
    <numFmt numFmtId="221" formatCode="0.000&quot;kA&quot;"/>
    <numFmt numFmtId="222" formatCode="0&quot;sq&quot;"/>
    <numFmt numFmtId="223" formatCode="0.00&quot;kA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u val="singleAccounting"/>
      <sz val="11"/>
      <color indexed="12"/>
      <name val="ＭＳ 明朝"/>
      <family val="1"/>
      <charset val="128"/>
    </font>
    <font>
      <u val="singleAccounting"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1"/>
      <color rgb="FF0000FF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darkGrid">
        <fgColor rgb="FFCCFFCC"/>
      </patternFill>
    </fill>
    <fill>
      <patternFill patternType="lightGray">
        <fgColor rgb="FFCCFFCC"/>
      </patternFill>
    </fill>
    <fill>
      <patternFill patternType="darkGrid">
        <fgColor rgb="FF66FFFF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distributed" vertical="center" wrapText="1"/>
    </xf>
    <xf numFmtId="179" fontId="2" fillId="0" borderId="14" xfId="0" applyNumberFormat="1" applyFont="1" applyBorder="1" applyAlignment="1">
      <alignment vertical="center"/>
    </xf>
    <xf numFmtId="179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4" fontId="2" fillId="0" borderId="0" xfId="0" applyNumberFormat="1" applyFont="1" applyAlignment="1">
      <alignment horizontal="left" vertical="center"/>
    </xf>
    <xf numFmtId="0" fontId="2" fillId="0" borderId="21" xfId="0" applyFont="1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185" fontId="2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Continuous" vertical="center"/>
    </xf>
    <xf numFmtId="187" fontId="2" fillId="0" borderId="14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88" fontId="2" fillId="0" borderId="25" xfId="0" applyNumberFormat="1" applyFont="1" applyBorder="1" applyAlignment="1">
      <alignment vertical="center"/>
    </xf>
    <xf numFmtId="189" fontId="2" fillId="0" borderId="26" xfId="0" applyNumberFormat="1" applyFont="1" applyBorder="1" applyAlignment="1">
      <alignment horizontal="right" vertical="center"/>
    </xf>
    <xf numFmtId="190" fontId="2" fillId="0" borderId="27" xfId="0" applyNumberFormat="1" applyFont="1" applyBorder="1" applyAlignment="1">
      <alignment horizontal="right" vertical="center"/>
    </xf>
    <xf numFmtId="180" fontId="7" fillId="0" borderId="28" xfId="0" applyNumberFormat="1" applyFont="1" applyBorder="1" applyAlignment="1">
      <alignment vertical="center"/>
    </xf>
    <xf numFmtId="0" fontId="4" fillId="0" borderId="29" xfId="0" applyFont="1" applyBorder="1" applyAlignment="1">
      <alignment horizontal="distributed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Continuous" vertical="center" wrapText="1"/>
    </xf>
    <xf numFmtId="0" fontId="2" fillId="0" borderId="35" xfId="0" applyFont="1" applyBorder="1" applyAlignment="1">
      <alignment horizontal="centerContinuous" vertical="center"/>
    </xf>
    <xf numFmtId="0" fontId="2" fillId="0" borderId="36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horizontal="centerContinuous" vertical="center"/>
    </xf>
    <xf numFmtId="0" fontId="2" fillId="0" borderId="41" xfId="0" applyFont="1" applyBorder="1" applyAlignment="1">
      <alignment horizontal="centerContinuous" vertical="center"/>
    </xf>
    <xf numFmtId="0" fontId="2" fillId="0" borderId="4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91" fontId="2" fillId="0" borderId="45" xfId="0" applyNumberFormat="1" applyFont="1" applyBorder="1" applyAlignment="1">
      <alignment vertical="center"/>
    </xf>
    <xf numFmtId="191" fontId="2" fillId="0" borderId="39" xfId="0" applyNumberFormat="1" applyFont="1" applyBorder="1" applyAlignment="1">
      <alignment vertical="center"/>
    </xf>
    <xf numFmtId="191" fontId="2" fillId="0" borderId="24" xfId="0" applyNumberFormat="1" applyFont="1" applyBorder="1" applyAlignment="1">
      <alignment vertical="center"/>
    </xf>
    <xf numFmtId="192" fontId="2" fillId="0" borderId="7" xfId="0" applyNumberFormat="1" applyFont="1" applyBorder="1" applyAlignment="1">
      <alignment vertical="center"/>
    </xf>
    <xf numFmtId="192" fontId="2" fillId="0" borderId="4" xfId="0" applyNumberFormat="1" applyFont="1" applyBorder="1" applyAlignment="1">
      <alignment vertical="center"/>
    </xf>
    <xf numFmtId="192" fontId="2" fillId="0" borderId="46" xfId="0" applyNumberFormat="1" applyFont="1" applyBorder="1" applyAlignment="1">
      <alignment vertical="center"/>
    </xf>
    <xf numFmtId="192" fontId="2" fillId="0" borderId="21" xfId="0" applyNumberFormat="1" applyFont="1" applyBorder="1" applyAlignment="1">
      <alignment vertical="center"/>
    </xf>
    <xf numFmtId="191" fontId="2" fillId="0" borderId="47" xfId="0" applyNumberFormat="1" applyFont="1" applyBorder="1" applyAlignment="1">
      <alignment vertical="center"/>
    </xf>
    <xf numFmtId="191" fontId="2" fillId="0" borderId="48" xfId="0" applyNumberFormat="1" applyFont="1" applyBorder="1" applyAlignment="1">
      <alignment vertical="center"/>
    </xf>
    <xf numFmtId="191" fontId="2" fillId="0" borderId="8" xfId="0" applyNumberFormat="1" applyFont="1" applyBorder="1" applyAlignment="1">
      <alignment vertical="center"/>
    </xf>
    <xf numFmtId="191" fontId="2" fillId="0" borderId="49" xfId="0" applyNumberFormat="1" applyFont="1" applyBorder="1" applyAlignment="1">
      <alignment vertical="center"/>
    </xf>
    <xf numFmtId="191" fontId="2" fillId="0" borderId="50" xfId="0" applyNumberFormat="1" applyFont="1" applyBorder="1" applyAlignment="1">
      <alignment vertical="center"/>
    </xf>
    <xf numFmtId="191" fontId="2" fillId="0" borderId="1" xfId="0" applyNumberFormat="1" applyFont="1" applyBorder="1" applyAlignment="1">
      <alignment vertical="center"/>
    </xf>
    <xf numFmtId="191" fontId="2" fillId="0" borderId="51" xfId="0" applyNumberFormat="1" applyFont="1" applyBorder="1" applyAlignment="1">
      <alignment vertical="center"/>
    </xf>
    <xf numFmtId="191" fontId="2" fillId="0" borderId="52" xfId="0" applyNumberFormat="1" applyFont="1" applyBorder="1" applyAlignment="1">
      <alignment vertical="center"/>
    </xf>
    <xf numFmtId="191" fontId="2" fillId="0" borderId="53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Continuous" vertical="center"/>
    </xf>
    <xf numFmtId="194" fontId="2" fillId="0" borderId="54" xfId="0" applyNumberFormat="1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195" fontId="2" fillId="0" borderId="18" xfId="0" applyNumberFormat="1" applyFont="1" applyBorder="1" applyAlignment="1">
      <alignment horizontal="left" vertical="center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31" fontId="4" fillId="2" borderId="0" xfId="0" applyNumberFormat="1" applyFont="1" applyFill="1" applyAlignment="1" applyProtection="1">
      <alignment vertical="center"/>
      <protection locked="0"/>
    </xf>
    <xf numFmtId="186" fontId="2" fillId="2" borderId="13" xfId="0" applyNumberFormat="1" applyFont="1" applyFill="1" applyBorder="1" applyAlignment="1" applyProtection="1">
      <alignment vertical="center"/>
      <protection locked="0"/>
    </xf>
    <xf numFmtId="49" fontId="2" fillId="2" borderId="8" xfId="0" applyNumberFormat="1" applyFont="1" applyFill="1" applyBorder="1" applyAlignment="1" applyProtection="1">
      <alignment horizontal="centerContinuous" vertical="center"/>
      <protection locked="0"/>
    </xf>
    <xf numFmtId="49" fontId="2" fillId="2" borderId="19" xfId="0" applyNumberFormat="1" applyFont="1" applyFill="1" applyBorder="1" applyAlignment="1" applyProtection="1">
      <alignment horizontal="centerContinuous" vertical="center"/>
      <protection locked="0"/>
    </xf>
    <xf numFmtId="49" fontId="2" fillId="2" borderId="15" xfId="0" applyNumberFormat="1" applyFont="1" applyFill="1" applyBorder="1" applyAlignment="1" applyProtection="1">
      <alignment horizontal="centerContinuous" vertical="center"/>
      <protection locked="0"/>
    </xf>
    <xf numFmtId="179" fontId="2" fillId="2" borderId="14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 wrapText="1"/>
      <protection locked="0"/>
    </xf>
    <xf numFmtId="0" fontId="2" fillId="2" borderId="20" xfId="0" applyFont="1" applyFill="1" applyBorder="1" applyAlignment="1" applyProtection="1">
      <alignment horizontal="centerContinuous" vertical="center"/>
      <protection locked="0"/>
    </xf>
    <xf numFmtId="0" fontId="2" fillId="2" borderId="14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>
      <alignment vertical="center"/>
    </xf>
    <xf numFmtId="176" fontId="2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77" fontId="2" fillId="2" borderId="15" xfId="0" applyNumberFormat="1" applyFont="1" applyFill="1" applyBorder="1" applyAlignment="1" applyProtection="1">
      <alignment vertical="center"/>
      <protection locked="0"/>
    </xf>
    <xf numFmtId="182" fontId="2" fillId="2" borderId="14" xfId="0" applyNumberFormat="1" applyFont="1" applyFill="1" applyBorder="1" applyAlignment="1" applyProtection="1">
      <alignment vertical="center"/>
      <protection locked="0"/>
    </xf>
    <xf numFmtId="182" fontId="2" fillId="2" borderId="23" xfId="0" applyNumberFormat="1" applyFont="1" applyFill="1" applyBorder="1" applyAlignment="1" applyProtection="1">
      <alignment vertical="center"/>
      <protection locked="0"/>
    </xf>
    <xf numFmtId="179" fontId="2" fillId="2" borderId="15" xfId="0" applyNumberFormat="1" applyFont="1" applyFill="1" applyBorder="1" applyAlignment="1" applyProtection="1">
      <alignment vertical="center"/>
      <protection locked="0"/>
    </xf>
    <xf numFmtId="180" fontId="2" fillId="2" borderId="14" xfId="0" applyNumberFormat="1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181" fontId="2" fillId="2" borderId="14" xfId="0" applyNumberFormat="1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178" fontId="2" fillId="2" borderId="14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19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6" xfId="0" applyFont="1" applyFill="1" applyBorder="1" applyAlignment="1" applyProtection="1">
      <alignment vertical="center"/>
      <protection locked="0"/>
    </xf>
    <xf numFmtId="0" fontId="2" fillId="2" borderId="57" xfId="0" applyFont="1" applyFill="1" applyBorder="1" applyAlignment="1" applyProtection="1">
      <alignment vertical="center"/>
      <protection locked="0"/>
    </xf>
    <xf numFmtId="0" fontId="2" fillId="2" borderId="58" xfId="0" applyFont="1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vertical="center"/>
      <protection locked="0"/>
    </xf>
    <xf numFmtId="193" fontId="2" fillId="2" borderId="56" xfId="0" applyNumberFormat="1" applyFont="1" applyFill="1" applyBorder="1" applyAlignment="1" applyProtection="1">
      <alignment vertical="center"/>
      <protection locked="0"/>
    </xf>
    <xf numFmtId="0" fontId="2" fillId="2" borderId="50" xfId="0" applyFont="1" applyFill="1" applyBorder="1" applyAlignment="1" applyProtection="1">
      <alignment vertical="center"/>
      <protection locked="0"/>
    </xf>
    <xf numFmtId="193" fontId="2" fillId="2" borderId="57" xfId="0" applyNumberFormat="1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193" fontId="2" fillId="2" borderId="58" xfId="0" applyNumberFormat="1" applyFont="1" applyFill="1" applyBorder="1" applyAlignment="1" applyProtection="1">
      <alignment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56" xfId="0" applyNumberFormat="1" applyFont="1" applyFill="1" applyBorder="1" applyAlignment="1" applyProtection="1">
      <alignment horizontal="center" vertical="center"/>
      <protection locked="0"/>
    </xf>
    <xf numFmtId="49" fontId="2" fillId="2" borderId="57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46" xfId="0" applyNumberFormat="1" applyFont="1" applyFill="1" applyBorder="1" applyAlignment="1" applyProtection="1">
      <alignment horizontal="center" vertical="center"/>
      <protection locked="0"/>
    </xf>
    <xf numFmtId="49" fontId="2" fillId="2" borderId="58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2" xfId="0" applyFont="1" applyBorder="1" applyAlignment="1">
      <alignment horizontal="center"/>
    </xf>
    <xf numFmtId="0" fontId="2" fillId="0" borderId="60" xfId="0" applyFont="1" applyBorder="1" applyAlignment="1">
      <alignment vertical="center"/>
    </xf>
    <xf numFmtId="0" fontId="2" fillId="0" borderId="29" xfId="0" applyFont="1" applyBorder="1" applyAlignment="1">
      <alignment horizontal="center" vertical="top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4" fillId="0" borderId="34" xfId="0" applyFont="1" applyBorder="1" applyAlignment="1">
      <alignment horizontal="center"/>
    </xf>
    <xf numFmtId="185" fontId="2" fillId="0" borderId="12" xfId="0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197" fontId="4" fillId="0" borderId="34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197" fontId="4" fillId="0" borderId="62" xfId="0" applyNumberFormat="1" applyFont="1" applyBorder="1" applyAlignment="1">
      <alignment horizontal="center" vertical="top"/>
    </xf>
    <xf numFmtId="0" fontId="2" fillId="0" borderId="36" xfId="0" applyFont="1" applyBorder="1" applyAlignment="1">
      <alignment horizontal="right" vertical="center"/>
    </xf>
    <xf numFmtId="196" fontId="2" fillId="0" borderId="26" xfId="0" applyNumberFormat="1" applyFont="1" applyBorder="1" applyAlignment="1">
      <alignment vertical="center"/>
    </xf>
    <xf numFmtId="203" fontId="4" fillId="0" borderId="61" xfId="0" applyNumberFormat="1" applyFont="1" applyBorder="1" applyAlignment="1">
      <alignment horizontal="center" vertical="top"/>
    </xf>
    <xf numFmtId="0" fontId="2" fillId="0" borderId="65" xfId="0" applyFont="1" applyBorder="1" applyAlignment="1">
      <alignment horizontal="right" vertical="center"/>
    </xf>
    <xf numFmtId="0" fontId="2" fillId="0" borderId="62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right" vertical="center"/>
    </xf>
    <xf numFmtId="0" fontId="2" fillId="0" borderId="15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207" fontId="2" fillId="0" borderId="62" xfId="0" applyNumberFormat="1" applyFont="1" applyBorder="1" applyAlignment="1">
      <alignment vertical="center"/>
    </xf>
    <xf numFmtId="0" fontId="2" fillId="0" borderId="26" xfId="0" applyFont="1" applyBorder="1" applyAlignment="1">
      <alignment horizontal="centerContinuous" vertical="center"/>
    </xf>
    <xf numFmtId="208" fontId="2" fillId="0" borderId="61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3" fontId="2" fillId="2" borderId="22" xfId="0" applyNumberFormat="1" applyFont="1" applyFill="1" applyBorder="1" applyAlignment="1" applyProtection="1">
      <alignment vertical="center"/>
      <protection locked="0"/>
    </xf>
    <xf numFmtId="202" fontId="2" fillId="2" borderId="65" xfId="0" applyNumberFormat="1" applyFont="1" applyFill="1" applyBorder="1" applyAlignment="1" applyProtection="1">
      <alignment horizontal="center"/>
      <protection locked="0"/>
    </xf>
    <xf numFmtId="202" fontId="2" fillId="2" borderId="26" xfId="0" applyNumberFormat="1" applyFont="1" applyFill="1" applyBorder="1" applyAlignment="1" applyProtection="1">
      <alignment horizontal="center" vertical="top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54" xfId="0" applyFont="1" applyFill="1" applyBorder="1" applyAlignment="1" applyProtection="1">
      <alignment horizontal="centerContinuous" vertical="center"/>
      <protection locked="0"/>
    </xf>
    <xf numFmtId="206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vertical="center"/>
      <protection locked="0"/>
    </xf>
    <xf numFmtId="0" fontId="2" fillId="0" borderId="64" xfId="0" applyFont="1" applyBorder="1" applyAlignment="1">
      <alignment horizontal="centerContinuous" vertical="center"/>
    </xf>
    <xf numFmtId="0" fontId="2" fillId="0" borderId="54" xfId="0" applyFont="1" applyBorder="1" applyAlignment="1">
      <alignment horizontal="centerContinuous" vertical="center"/>
    </xf>
    <xf numFmtId="0" fontId="2" fillId="0" borderId="61" xfId="0" applyFont="1" applyBorder="1" applyAlignment="1">
      <alignment horizontal="centerContinuous" vertical="center"/>
    </xf>
    <xf numFmtId="0" fontId="2" fillId="2" borderId="25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vertical="top"/>
    </xf>
    <xf numFmtId="197" fontId="4" fillId="0" borderId="61" xfId="0" applyNumberFormat="1" applyFont="1" applyBorder="1" applyAlignment="1">
      <alignment horizontal="center" vertical="top"/>
    </xf>
    <xf numFmtId="197" fontId="4" fillId="0" borderId="36" xfId="0" applyNumberFormat="1" applyFont="1" applyBorder="1" applyAlignment="1">
      <alignment horizontal="center" vertical="top"/>
    </xf>
    <xf numFmtId="210" fontId="2" fillId="0" borderId="26" xfId="0" applyNumberFormat="1" applyFont="1" applyBorder="1" applyAlignment="1" applyProtection="1">
      <alignment horizontal="center" vertical="center"/>
      <protection locked="0"/>
    </xf>
    <xf numFmtId="204" fontId="2" fillId="0" borderId="2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4" fontId="2" fillId="0" borderId="26" xfId="0" applyNumberFormat="1" applyFont="1" applyBorder="1" applyAlignment="1">
      <alignment vertical="center"/>
    </xf>
    <xf numFmtId="206" fontId="2" fillId="2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Continuous" vertical="center"/>
      <protection locked="0"/>
    </xf>
    <xf numFmtId="0" fontId="2" fillId="0" borderId="44" xfId="0" applyFont="1" applyBorder="1" applyAlignment="1">
      <alignment vertical="center" shrinkToFit="1"/>
    </xf>
    <xf numFmtId="211" fontId="2" fillId="0" borderId="26" xfId="0" applyNumberFormat="1" applyFont="1" applyBorder="1" applyAlignment="1">
      <alignment horizontal="center" vertical="center" shrinkToFit="1"/>
    </xf>
    <xf numFmtId="209" fontId="4" fillId="0" borderId="26" xfId="0" applyNumberFormat="1" applyFont="1" applyBorder="1" applyAlignment="1" applyProtection="1">
      <alignment horizontal="centerContinuous" vertical="top"/>
      <protection locked="0"/>
    </xf>
    <xf numFmtId="204" fontId="2" fillId="0" borderId="25" xfId="0" applyNumberFormat="1" applyFont="1" applyBorder="1" applyAlignment="1">
      <alignment horizontal="centerContinuous" vertical="top"/>
    </xf>
    <xf numFmtId="0" fontId="2" fillId="2" borderId="65" xfId="0" applyFont="1" applyFill="1" applyBorder="1" applyAlignment="1" applyProtection="1">
      <alignment vertical="center"/>
      <protection locked="0"/>
    </xf>
    <xf numFmtId="0" fontId="2" fillId="2" borderId="41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66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 shrinkToFit="1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Alignment="1">
      <alignment horizontal="centerContinuous" vertical="center"/>
    </xf>
    <xf numFmtId="213" fontId="2" fillId="0" borderId="53" xfId="0" applyNumberFormat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6" fillId="0" borderId="46" xfId="0" applyFont="1" applyBorder="1" applyAlignment="1">
      <alignment horizontal="center" vertical="center" shrinkToFit="1"/>
    </xf>
    <xf numFmtId="214" fontId="2" fillId="2" borderId="7" xfId="0" applyNumberFormat="1" applyFont="1" applyFill="1" applyBorder="1" applyAlignment="1" applyProtection="1">
      <alignment vertical="center"/>
      <protection locked="0"/>
    </xf>
    <xf numFmtId="214" fontId="2" fillId="2" borderId="4" xfId="0" applyNumberFormat="1" applyFont="1" applyFill="1" applyBorder="1" applyAlignment="1" applyProtection="1">
      <alignment vertical="center"/>
      <protection locked="0"/>
    </xf>
    <xf numFmtId="214" fontId="2" fillId="2" borderId="46" xfId="0" applyNumberFormat="1" applyFont="1" applyFill="1" applyBorder="1" applyAlignment="1" applyProtection="1">
      <alignment vertical="center"/>
      <protection locked="0"/>
    </xf>
    <xf numFmtId="215" fontId="2" fillId="0" borderId="2" xfId="0" applyNumberFormat="1" applyFont="1" applyBorder="1" applyAlignment="1">
      <alignment vertical="center"/>
    </xf>
    <xf numFmtId="216" fontId="2" fillId="0" borderId="2" xfId="0" applyNumberFormat="1" applyFont="1" applyBorder="1" applyAlignment="1">
      <alignment vertical="center"/>
    </xf>
    <xf numFmtId="212" fontId="2" fillId="2" borderId="0" xfId="0" applyNumberFormat="1" applyFont="1" applyFill="1" applyAlignment="1">
      <alignment horizontal="left" vertical="center"/>
    </xf>
    <xf numFmtId="186" fontId="2" fillId="2" borderId="14" xfId="0" applyNumberFormat="1" applyFont="1" applyFill="1" applyBorder="1" applyAlignment="1">
      <alignment vertical="center"/>
    </xf>
    <xf numFmtId="212" fontId="2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2" fillId="5" borderId="50" xfId="0" applyFont="1" applyFill="1" applyBorder="1" applyAlignment="1">
      <alignment horizontal="center" vertical="center"/>
    </xf>
    <xf numFmtId="219" fontId="2" fillId="6" borderId="50" xfId="0" applyNumberFormat="1" applyFont="1" applyFill="1" applyBorder="1" applyAlignment="1">
      <alignment horizontal="right" vertical="center" indent="1"/>
    </xf>
    <xf numFmtId="185" fontId="2" fillId="0" borderId="50" xfId="0" applyNumberFormat="1" applyFont="1" applyBorder="1" applyAlignment="1">
      <alignment horizontal="center" vertical="center"/>
    </xf>
    <xf numFmtId="220" fontId="2" fillId="0" borderId="50" xfId="0" applyNumberFormat="1" applyFont="1" applyBorder="1" applyAlignment="1">
      <alignment horizontal="right" vertical="center" indent="1"/>
    </xf>
    <xf numFmtId="0" fontId="2" fillId="5" borderId="0" xfId="0" applyFont="1" applyFill="1" applyAlignment="1">
      <alignment horizontal="centerContinuous" vertical="center"/>
    </xf>
    <xf numFmtId="10" fontId="13" fillId="7" borderId="0" xfId="0" applyNumberFormat="1" applyFont="1" applyFill="1" applyAlignment="1">
      <alignment horizontal="center" wrapText="1"/>
    </xf>
    <xf numFmtId="0" fontId="2" fillId="8" borderId="42" xfId="0" applyFont="1" applyFill="1" applyBorder="1" applyAlignment="1">
      <alignment vertical="center" wrapText="1"/>
    </xf>
    <xf numFmtId="2" fontId="2" fillId="0" borderId="12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221" fontId="2" fillId="0" borderId="0" xfId="0" applyNumberFormat="1" applyFont="1" applyAlignment="1">
      <alignment vertical="center"/>
    </xf>
    <xf numFmtId="222" fontId="2" fillId="9" borderId="0" xfId="0" applyNumberFormat="1" applyFont="1" applyFill="1" applyAlignment="1">
      <alignment vertical="center"/>
    </xf>
    <xf numFmtId="223" fontId="2" fillId="10" borderId="0" xfId="0" applyNumberFormat="1" applyFont="1" applyFill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83" fontId="2" fillId="0" borderId="0" xfId="0" applyNumberFormat="1" applyFont="1" applyAlignment="1">
      <alignment horizontal="left" vertical="center"/>
    </xf>
    <xf numFmtId="212" fontId="2" fillId="2" borderId="0" xfId="0" applyNumberFormat="1" applyFont="1" applyFill="1" applyAlignment="1">
      <alignment horizontal="left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1" fontId="4" fillId="2" borderId="0" xfId="0" applyNumberFormat="1" applyFont="1" applyFill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distributed" vertical="center"/>
    </xf>
    <xf numFmtId="0" fontId="8" fillId="0" borderId="5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200" fontId="2" fillId="0" borderId="34" xfId="0" applyNumberFormat="1" applyFont="1" applyBorder="1" applyAlignment="1">
      <alignment horizontal="right" vertical="center" shrinkToFit="1"/>
    </xf>
    <xf numFmtId="200" fontId="2" fillId="0" borderId="36" xfId="0" applyNumberFormat="1" applyFont="1" applyBorder="1" applyAlignment="1">
      <alignment horizontal="right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205" fontId="2" fillId="0" borderId="35" xfId="0" applyNumberFormat="1" applyFont="1" applyBorder="1" applyAlignment="1">
      <alignment horizontal="center" vertical="center" shrinkToFit="1"/>
    </xf>
    <xf numFmtId="205" fontId="2" fillId="0" borderId="25" xfId="0" applyNumberFormat="1" applyFont="1" applyBorder="1" applyAlignment="1">
      <alignment horizontal="center" vertical="center" shrinkToFit="1"/>
    </xf>
    <xf numFmtId="198" fontId="2" fillId="0" borderId="35" xfId="0" applyNumberFormat="1" applyFont="1" applyBorder="1" applyAlignment="1">
      <alignment vertical="center"/>
    </xf>
    <xf numFmtId="198" fontId="2" fillId="0" borderId="62" xfId="0" applyNumberFormat="1" applyFont="1" applyBorder="1" applyAlignment="1">
      <alignment vertical="center"/>
    </xf>
    <xf numFmtId="201" fontId="2" fillId="0" borderId="65" xfId="0" applyNumberFormat="1" applyFont="1" applyBorder="1" applyAlignment="1">
      <alignment horizontal="center" vertical="center" shrinkToFit="1"/>
    </xf>
    <xf numFmtId="201" fontId="2" fillId="0" borderId="0" xfId="0" applyNumberFormat="1" applyFont="1" applyAlignment="1">
      <alignment horizontal="center" vertical="center" shrinkToFit="1"/>
    </xf>
    <xf numFmtId="199" fontId="2" fillId="0" borderId="6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1" fontId="4" fillId="2" borderId="0" xfId="0" applyNumberFormat="1" applyFont="1" applyFill="1" applyAlignment="1" applyProtection="1">
      <alignment vertical="center"/>
      <protection locked="0"/>
    </xf>
    <xf numFmtId="217" fontId="2" fillId="2" borderId="65" xfId="0" applyNumberFormat="1" applyFont="1" applyFill="1" applyBorder="1" applyAlignment="1" applyProtection="1">
      <alignment horizontal="center" vertical="center"/>
      <protection locked="0"/>
    </xf>
    <xf numFmtId="217" fontId="2" fillId="2" borderId="0" xfId="0" applyNumberFormat="1" applyFont="1" applyFill="1" applyAlignment="1" applyProtection="1">
      <alignment horizontal="center" vertical="center"/>
      <protection locked="0"/>
    </xf>
    <xf numFmtId="204" fontId="2" fillId="0" borderId="35" xfId="0" applyNumberFormat="1" applyFont="1" applyBorder="1" applyAlignment="1">
      <alignment horizontal="center" vertical="center"/>
    </xf>
    <xf numFmtId="204" fontId="2" fillId="0" borderId="62" xfId="0" applyNumberFormat="1" applyFont="1" applyBorder="1" applyAlignment="1">
      <alignment horizontal="center" vertical="center"/>
    </xf>
    <xf numFmtId="0" fontId="0" fillId="0" borderId="0" xfId="0"/>
    <xf numFmtId="218" fontId="2" fillId="2" borderId="65" xfId="0" applyNumberFormat="1" applyFont="1" applyFill="1" applyBorder="1" applyAlignment="1" applyProtection="1">
      <alignment horizontal="center" vertical="center" shrinkToFit="1"/>
      <protection locked="0"/>
    </xf>
    <xf numFmtId="218" fontId="2" fillId="2" borderId="0" xfId="0" applyNumberFormat="1" applyFont="1" applyFill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25</xdr:row>
      <xdr:rowOff>0</xdr:rowOff>
    </xdr:from>
    <xdr:to>
      <xdr:col>4</xdr:col>
      <xdr:colOff>285750</xdr:colOff>
      <xdr:row>26</xdr:row>
      <xdr:rowOff>9525</xdr:rowOff>
    </xdr:to>
    <xdr:sp macro="" textlink="">
      <xdr:nvSpPr>
        <xdr:cNvPr id="1042" name="Oval 2">
          <a:extLst>
            <a:ext uri="{FF2B5EF4-FFF2-40B4-BE49-F238E27FC236}">
              <a16:creationId xmlns:a16="http://schemas.microsoft.com/office/drawing/2014/main" id="{779EFC16-55D6-47A9-363D-06809F9F0075}"/>
            </a:ext>
          </a:extLst>
        </xdr:cNvPr>
        <xdr:cNvSpPr>
          <a:spLocks noChangeArrowheads="1"/>
        </xdr:cNvSpPr>
      </xdr:nvSpPr>
      <xdr:spPr bwMode="auto">
        <a:xfrm>
          <a:off x="4533900" y="6438900"/>
          <a:ext cx="5524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1314450</xdr:colOff>
      <xdr:row>4</xdr:row>
      <xdr:rowOff>0</xdr:rowOff>
    </xdr:from>
    <xdr:to>
      <xdr:col>6</xdr:col>
      <xdr:colOff>2000250</xdr:colOff>
      <xdr:row>5</xdr:row>
      <xdr:rowOff>38100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B3FAABAF-5BFA-D986-27AF-3E5E26ECA4D6}"/>
            </a:ext>
          </a:extLst>
        </xdr:cNvPr>
        <xdr:cNvSpPr txBox="1">
          <a:spLocks noChangeArrowheads="1"/>
        </xdr:cNvSpPr>
      </xdr:nvSpPr>
      <xdr:spPr bwMode="auto">
        <a:xfrm>
          <a:off x="5962650" y="990600"/>
          <a:ext cx="685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Ｉｐ</a:t>
          </a:r>
        </a:p>
      </xdr:txBody>
    </xdr:sp>
    <xdr:clientData/>
  </xdr:twoCellAnchor>
  <xdr:twoCellAnchor>
    <xdr:from>
      <xdr:col>6</xdr:col>
      <xdr:colOff>1314450</xdr:colOff>
      <xdr:row>6</xdr:row>
      <xdr:rowOff>0</xdr:rowOff>
    </xdr:from>
    <xdr:to>
      <xdr:col>6</xdr:col>
      <xdr:colOff>2000250</xdr:colOff>
      <xdr:row>7</xdr:row>
      <xdr:rowOff>38100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F23DF428-2E47-7A38-4615-36B18DC34347}"/>
            </a:ext>
          </a:extLst>
        </xdr:cNvPr>
        <xdr:cNvSpPr txBox="1">
          <a:spLocks noChangeArrowheads="1"/>
        </xdr:cNvSpPr>
      </xdr:nvSpPr>
      <xdr:spPr bwMode="auto">
        <a:xfrm>
          <a:off x="5962650" y="1333500"/>
          <a:ext cx="685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Ｔ</a:t>
          </a:r>
        </a:p>
      </xdr:txBody>
    </xdr:sp>
    <xdr:clientData/>
  </xdr:twoCellAnchor>
  <xdr:twoCellAnchor>
    <xdr:from>
      <xdr:col>6</xdr:col>
      <xdr:colOff>1314450</xdr:colOff>
      <xdr:row>3</xdr:row>
      <xdr:rowOff>0</xdr:rowOff>
    </xdr:from>
    <xdr:to>
      <xdr:col>6</xdr:col>
      <xdr:colOff>2000250</xdr:colOff>
      <xdr:row>4</xdr:row>
      <xdr:rowOff>38100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87944523-6914-A908-156B-850751499040}"/>
            </a:ext>
          </a:extLst>
        </xdr:cNvPr>
        <xdr:cNvSpPr txBox="1">
          <a:spLocks noChangeArrowheads="1"/>
        </xdr:cNvSpPr>
      </xdr:nvSpPr>
      <xdr:spPr bwMode="auto">
        <a:xfrm>
          <a:off x="5962650" y="819150"/>
          <a:ext cx="685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Ｉｓ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25</xdr:row>
          <xdr:rowOff>161925</xdr:rowOff>
        </xdr:from>
        <xdr:to>
          <xdr:col>6</xdr:col>
          <xdr:colOff>1933575</xdr:colOff>
          <xdr:row>42</xdr:row>
          <xdr:rowOff>85725</xdr:rowOff>
        </xdr:to>
        <xdr:pic>
          <xdr:nvPicPr>
            <xdr:cNvPr id="2115" name="Picture 5">
              <a:extLst>
                <a:ext uri="{FF2B5EF4-FFF2-40B4-BE49-F238E27FC236}">
                  <a16:creationId xmlns:a16="http://schemas.microsoft.com/office/drawing/2014/main" id="{D2CDEF5D-ABD2-4A10-0E8A-0391FCA3CD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Ｔｒ群!$A$4:$K$16" spid="_x0000_s21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300" y="7000875"/>
              <a:ext cx="6467475" cy="2838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1314450</xdr:colOff>
      <xdr:row>3</xdr:row>
      <xdr:rowOff>0</xdr:rowOff>
    </xdr:from>
    <xdr:to>
      <xdr:col>6</xdr:col>
      <xdr:colOff>742950</xdr:colOff>
      <xdr:row>3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DAB18A63-9860-26A9-6C3E-5ECE9F8CD9F6}"/>
            </a:ext>
          </a:extLst>
        </xdr:cNvPr>
        <xdr:cNvSpPr txBox="1">
          <a:spLocks noChangeArrowheads="1"/>
        </xdr:cNvSpPr>
      </xdr:nvSpPr>
      <xdr:spPr bwMode="auto">
        <a:xfrm>
          <a:off x="4257675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Ｉｐ</a:t>
          </a:r>
        </a:p>
      </xdr:txBody>
    </xdr:sp>
    <xdr:clientData/>
  </xdr:twoCellAnchor>
  <xdr:twoCellAnchor>
    <xdr:from>
      <xdr:col>6</xdr:col>
      <xdr:colOff>1314450</xdr:colOff>
      <xdr:row>3</xdr:row>
      <xdr:rowOff>0</xdr:rowOff>
    </xdr:from>
    <xdr:to>
      <xdr:col>6</xdr:col>
      <xdr:colOff>742950</xdr:colOff>
      <xdr:row>3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E4C6B57C-1A41-373D-C553-5C65D7F591D5}"/>
            </a:ext>
          </a:extLst>
        </xdr:cNvPr>
        <xdr:cNvSpPr txBox="1">
          <a:spLocks noChangeArrowheads="1"/>
        </xdr:cNvSpPr>
      </xdr:nvSpPr>
      <xdr:spPr bwMode="auto">
        <a:xfrm>
          <a:off x="4257675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Ｔ</a:t>
          </a:r>
        </a:p>
      </xdr:txBody>
    </xdr:sp>
    <xdr:clientData/>
  </xdr:twoCellAnchor>
  <xdr:twoCellAnchor>
    <xdr:from>
      <xdr:col>6</xdr:col>
      <xdr:colOff>1314450</xdr:colOff>
      <xdr:row>3</xdr:row>
      <xdr:rowOff>0</xdr:rowOff>
    </xdr:from>
    <xdr:to>
      <xdr:col>6</xdr:col>
      <xdr:colOff>742950</xdr:colOff>
      <xdr:row>3</xdr:row>
      <xdr:rowOff>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B5B9C767-76F7-AB34-95A7-AFEBEA2AB2E7}"/>
            </a:ext>
          </a:extLst>
        </xdr:cNvPr>
        <xdr:cNvSpPr txBox="1">
          <a:spLocks noChangeArrowheads="1"/>
        </xdr:cNvSpPr>
      </xdr:nvSpPr>
      <xdr:spPr bwMode="auto">
        <a:xfrm>
          <a:off x="4257675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Ｉｓ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1314450</xdr:colOff>
      <xdr:row>3</xdr:row>
      <xdr:rowOff>0</xdr:rowOff>
    </xdr:from>
    <xdr:to>
      <xdr:col>7</xdr:col>
      <xdr:colOff>771525</xdr:colOff>
      <xdr:row>3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AA97CF20-3A29-B8A6-6759-DF3AFD6ECB98}"/>
            </a:ext>
          </a:extLst>
        </xdr:cNvPr>
        <xdr:cNvSpPr txBox="1">
          <a:spLocks noChangeArrowheads="1"/>
        </xdr:cNvSpPr>
      </xdr:nvSpPr>
      <xdr:spPr bwMode="auto">
        <a:xfrm>
          <a:off x="6696075" y="828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Ｉｐ</a:t>
          </a:r>
        </a:p>
      </xdr:txBody>
    </xdr:sp>
    <xdr:clientData/>
  </xdr:twoCellAnchor>
  <xdr:twoCellAnchor>
    <xdr:from>
      <xdr:col>7</xdr:col>
      <xdr:colOff>1314450</xdr:colOff>
      <xdr:row>3</xdr:row>
      <xdr:rowOff>0</xdr:rowOff>
    </xdr:from>
    <xdr:to>
      <xdr:col>7</xdr:col>
      <xdr:colOff>771525</xdr:colOff>
      <xdr:row>3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B877983-E130-0D61-5374-7AD30D6DA64D}"/>
            </a:ext>
          </a:extLst>
        </xdr:cNvPr>
        <xdr:cNvSpPr txBox="1">
          <a:spLocks noChangeArrowheads="1"/>
        </xdr:cNvSpPr>
      </xdr:nvSpPr>
      <xdr:spPr bwMode="auto">
        <a:xfrm>
          <a:off x="6696075" y="828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Ｔ</a:t>
          </a:r>
        </a:p>
      </xdr:txBody>
    </xdr:sp>
    <xdr:clientData/>
  </xdr:twoCellAnchor>
  <xdr:twoCellAnchor>
    <xdr:from>
      <xdr:col>7</xdr:col>
      <xdr:colOff>1314450</xdr:colOff>
      <xdr:row>3</xdr:row>
      <xdr:rowOff>0</xdr:rowOff>
    </xdr:from>
    <xdr:to>
      <xdr:col>7</xdr:col>
      <xdr:colOff>771525</xdr:colOff>
      <xdr:row>3</xdr:row>
      <xdr:rowOff>0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912D8B09-DD0F-A688-9703-1D6B0D1B077A}"/>
            </a:ext>
          </a:extLst>
        </xdr:cNvPr>
        <xdr:cNvSpPr txBox="1">
          <a:spLocks noChangeArrowheads="1"/>
        </xdr:cNvSpPr>
      </xdr:nvSpPr>
      <xdr:spPr bwMode="auto">
        <a:xfrm>
          <a:off x="6696075" y="828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Ｉｓ</a:t>
          </a:r>
        </a:p>
      </xdr:txBody>
    </xdr:sp>
    <xdr:clientData/>
  </xdr:twoCellAnchor>
  <xdr:twoCellAnchor>
    <xdr:from>
      <xdr:col>2</xdr:col>
      <xdr:colOff>47625</xdr:colOff>
      <xdr:row>9</xdr:row>
      <xdr:rowOff>0</xdr:rowOff>
    </xdr:from>
    <xdr:to>
      <xdr:col>2</xdr:col>
      <xdr:colOff>762000</xdr:colOff>
      <xdr:row>9</xdr:row>
      <xdr:rowOff>0</xdr:rowOff>
    </xdr:to>
    <xdr:sp macro="" textlink="">
      <xdr:nvSpPr>
        <xdr:cNvPr id="5344" name="Line 4">
          <a:extLst>
            <a:ext uri="{FF2B5EF4-FFF2-40B4-BE49-F238E27FC236}">
              <a16:creationId xmlns:a16="http://schemas.microsoft.com/office/drawing/2014/main" id="{5036B95B-6ACA-64AC-4EA4-542B8546D790}"/>
            </a:ext>
          </a:extLst>
        </xdr:cNvPr>
        <xdr:cNvSpPr>
          <a:spLocks noChangeShapeType="1"/>
        </xdr:cNvSpPr>
      </xdr:nvSpPr>
      <xdr:spPr bwMode="auto">
        <a:xfrm>
          <a:off x="2085975" y="2990850"/>
          <a:ext cx="714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</xdr:row>
      <xdr:rowOff>0</xdr:rowOff>
    </xdr:from>
    <xdr:to>
      <xdr:col>2</xdr:col>
      <xdr:colOff>762000</xdr:colOff>
      <xdr:row>13</xdr:row>
      <xdr:rowOff>0</xdr:rowOff>
    </xdr:to>
    <xdr:sp macro="" textlink="">
      <xdr:nvSpPr>
        <xdr:cNvPr id="5345" name="Line 5">
          <a:extLst>
            <a:ext uri="{FF2B5EF4-FFF2-40B4-BE49-F238E27FC236}">
              <a16:creationId xmlns:a16="http://schemas.microsoft.com/office/drawing/2014/main" id="{2E1B24DD-02C8-316A-EB57-5A1EED8DED1B}"/>
            </a:ext>
          </a:extLst>
        </xdr:cNvPr>
        <xdr:cNvSpPr>
          <a:spLocks noChangeShapeType="1"/>
        </xdr:cNvSpPr>
      </xdr:nvSpPr>
      <xdr:spPr bwMode="auto">
        <a:xfrm>
          <a:off x="2085975" y="4362450"/>
          <a:ext cx="714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16</xdr:row>
      <xdr:rowOff>19050</xdr:rowOff>
    </xdr:from>
    <xdr:to>
      <xdr:col>2</xdr:col>
      <xdr:colOff>762000</xdr:colOff>
      <xdr:row>16</xdr:row>
      <xdr:rowOff>19050</xdr:rowOff>
    </xdr:to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48DFB2D6-6FE1-83FA-8AC0-6A6A9932876B}"/>
            </a:ext>
          </a:extLst>
        </xdr:cNvPr>
        <xdr:cNvSpPr>
          <a:spLocks noChangeShapeType="1"/>
        </xdr:cNvSpPr>
      </xdr:nvSpPr>
      <xdr:spPr bwMode="auto">
        <a:xfrm>
          <a:off x="2085975" y="5286375"/>
          <a:ext cx="714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16</xdr:row>
      <xdr:rowOff>19050</xdr:rowOff>
    </xdr:from>
    <xdr:to>
      <xdr:col>4</xdr:col>
      <xdr:colOff>723900</xdr:colOff>
      <xdr:row>16</xdr:row>
      <xdr:rowOff>19050</xdr:rowOff>
    </xdr:to>
    <xdr:sp macro="" textlink="">
      <xdr:nvSpPr>
        <xdr:cNvPr id="5347" name="Line 7">
          <a:extLst>
            <a:ext uri="{FF2B5EF4-FFF2-40B4-BE49-F238E27FC236}">
              <a16:creationId xmlns:a16="http://schemas.microsoft.com/office/drawing/2014/main" id="{00EB078D-1398-7266-8A00-FBBBDA8064D6}"/>
            </a:ext>
          </a:extLst>
        </xdr:cNvPr>
        <xdr:cNvSpPr>
          <a:spLocks noChangeShapeType="1"/>
        </xdr:cNvSpPr>
      </xdr:nvSpPr>
      <xdr:spPr bwMode="auto">
        <a:xfrm>
          <a:off x="3543300" y="5286375"/>
          <a:ext cx="714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48" name="Line 8">
          <a:extLst>
            <a:ext uri="{FF2B5EF4-FFF2-40B4-BE49-F238E27FC236}">
              <a16:creationId xmlns:a16="http://schemas.microsoft.com/office/drawing/2014/main" id="{15B80522-786A-B9E3-76E3-674A4896BDDA}"/>
            </a:ext>
          </a:extLst>
        </xdr:cNvPr>
        <xdr:cNvSpPr>
          <a:spLocks noChangeShapeType="1"/>
        </xdr:cNvSpPr>
      </xdr:nvSpPr>
      <xdr:spPr bwMode="auto">
        <a:xfrm>
          <a:off x="2819400" y="6486525"/>
          <a:ext cx="714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9</xdr:row>
      <xdr:rowOff>0</xdr:rowOff>
    </xdr:from>
    <xdr:to>
      <xdr:col>5</xdr:col>
      <xdr:colOff>762000</xdr:colOff>
      <xdr:row>9</xdr:row>
      <xdr:rowOff>0</xdr:rowOff>
    </xdr:to>
    <xdr:sp macro="" textlink="">
      <xdr:nvSpPr>
        <xdr:cNvPr id="5349" name="Line 9">
          <a:extLst>
            <a:ext uri="{FF2B5EF4-FFF2-40B4-BE49-F238E27FC236}">
              <a16:creationId xmlns:a16="http://schemas.microsoft.com/office/drawing/2014/main" id="{375A8551-083B-FA43-1303-3BAD85287837}"/>
            </a:ext>
          </a:extLst>
        </xdr:cNvPr>
        <xdr:cNvSpPr>
          <a:spLocks noChangeShapeType="1"/>
        </xdr:cNvSpPr>
      </xdr:nvSpPr>
      <xdr:spPr bwMode="auto">
        <a:xfrm>
          <a:off x="4352925" y="2990850"/>
          <a:ext cx="714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13</xdr:row>
      <xdr:rowOff>0</xdr:rowOff>
    </xdr:from>
    <xdr:to>
      <xdr:col>5</xdr:col>
      <xdr:colOff>762000</xdr:colOff>
      <xdr:row>13</xdr:row>
      <xdr:rowOff>0</xdr:rowOff>
    </xdr:to>
    <xdr:sp macro="" textlink="">
      <xdr:nvSpPr>
        <xdr:cNvPr id="5350" name="Line 10">
          <a:extLst>
            <a:ext uri="{FF2B5EF4-FFF2-40B4-BE49-F238E27FC236}">
              <a16:creationId xmlns:a16="http://schemas.microsoft.com/office/drawing/2014/main" id="{EF3DEE78-4584-FA62-5BEE-D5C95411EA61}"/>
            </a:ext>
          </a:extLst>
        </xdr:cNvPr>
        <xdr:cNvSpPr>
          <a:spLocks noChangeShapeType="1"/>
        </xdr:cNvSpPr>
      </xdr:nvSpPr>
      <xdr:spPr bwMode="auto">
        <a:xfrm>
          <a:off x="4352925" y="4362450"/>
          <a:ext cx="714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16</xdr:row>
      <xdr:rowOff>19050</xdr:rowOff>
    </xdr:from>
    <xdr:to>
      <xdr:col>5</xdr:col>
      <xdr:colOff>762000</xdr:colOff>
      <xdr:row>16</xdr:row>
      <xdr:rowOff>19050</xdr:rowOff>
    </xdr:to>
    <xdr:sp macro="" textlink="">
      <xdr:nvSpPr>
        <xdr:cNvPr id="5351" name="Line 11">
          <a:extLst>
            <a:ext uri="{FF2B5EF4-FFF2-40B4-BE49-F238E27FC236}">
              <a16:creationId xmlns:a16="http://schemas.microsoft.com/office/drawing/2014/main" id="{61A62E78-03B5-1475-E9C8-A96773B79A73}"/>
            </a:ext>
          </a:extLst>
        </xdr:cNvPr>
        <xdr:cNvSpPr>
          <a:spLocks noChangeShapeType="1"/>
        </xdr:cNvSpPr>
      </xdr:nvSpPr>
      <xdr:spPr bwMode="auto">
        <a:xfrm>
          <a:off x="4352925" y="5286375"/>
          <a:ext cx="714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19050</xdr:rowOff>
    </xdr:from>
    <xdr:to>
      <xdr:col>7</xdr:col>
      <xdr:colOff>723900</xdr:colOff>
      <xdr:row>16</xdr:row>
      <xdr:rowOff>19050</xdr:rowOff>
    </xdr:to>
    <xdr:sp macro="" textlink="">
      <xdr:nvSpPr>
        <xdr:cNvPr id="5352" name="Line 12">
          <a:extLst>
            <a:ext uri="{FF2B5EF4-FFF2-40B4-BE49-F238E27FC236}">
              <a16:creationId xmlns:a16="http://schemas.microsoft.com/office/drawing/2014/main" id="{D3FA1E6E-FD29-8D3C-E2A4-25DB33038449}"/>
            </a:ext>
          </a:extLst>
        </xdr:cNvPr>
        <xdr:cNvSpPr>
          <a:spLocks noChangeShapeType="1"/>
        </xdr:cNvSpPr>
      </xdr:nvSpPr>
      <xdr:spPr bwMode="auto">
        <a:xfrm>
          <a:off x="5810250" y="5286375"/>
          <a:ext cx="714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353" name="Line 13">
          <a:extLst>
            <a:ext uri="{FF2B5EF4-FFF2-40B4-BE49-F238E27FC236}">
              <a16:creationId xmlns:a16="http://schemas.microsoft.com/office/drawing/2014/main" id="{9A46A01E-65A4-EA18-7C6C-ED21455D80F6}"/>
            </a:ext>
          </a:extLst>
        </xdr:cNvPr>
        <xdr:cNvSpPr>
          <a:spLocks noChangeShapeType="1"/>
        </xdr:cNvSpPr>
      </xdr:nvSpPr>
      <xdr:spPr bwMode="auto">
        <a:xfrm>
          <a:off x="5086350" y="6486525"/>
          <a:ext cx="714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9525</xdr:colOff>
      <xdr:row>6</xdr:row>
      <xdr:rowOff>409575</xdr:rowOff>
    </xdr:from>
    <xdr:ext cx="1785938" cy="2476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5D9BA8-7341-AA43-E9EA-FB71F6265AC0}"/>
            </a:ext>
          </a:extLst>
        </xdr:cNvPr>
        <xdr:cNvSpPr txBox="1"/>
      </xdr:nvSpPr>
      <xdr:spPr>
        <a:xfrm>
          <a:off x="9124950" y="2200275"/>
          <a:ext cx="1785938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３相短絡電流による計算値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" sqref="L3"/>
    </sheetView>
  </sheetViews>
  <sheetFormatPr defaultColWidth="9" defaultRowHeight="13.5"/>
  <cols>
    <col min="1" max="1" width="21" style="1" customWidth="1"/>
    <col min="2" max="2" width="17.75" style="1" customWidth="1"/>
    <col min="3" max="3" width="13.25" style="1" customWidth="1"/>
    <col min="4" max="4" width="11" style="1" customWidth="1"/>
    <col min="5" max="5" width="23.75" style="1" customWidth="1"/>
    <col min="6" max="6" width="3.75" style="1" customWidth="1"/>
    <col min="7" max="7" width="19.375" style="1" customWidth="1"/>
    <col min="8" max="16384" width="9" style="1"/>
  </cols>
  <sheetData>
    <row r="1" spans="1:14" ht="36" customHeight="1">
      <c r="A1" s="19" t="s">
        <v>0</v>
      </c>
      <c r="B1" s="4"/>
      <c r="C1" s="4"/>
      <c r="D1" s="4"/>
      <c r="E1" s="4"/>
    </row>
    <row r="2" spans="1:14">
      <c r="A2" s="105" t="s">
        <v>146</v>
      </c>
      <c r="B2" s="106"/>
      <c r="C2" s="106"/>
      <c r="D2" s="106"/>
      <c r="E2" s="95">
        <v>44871</v>
      </c>
      <c r="G2" s="124" t="s">
        <v>94</v>
      </c>
    </row>
    <row r="3" spans="1:14">
      <c r="G3" s="211" t="s">
        <v>144</v>
      </c>
    </row>
    <row r="4" spans="1:14">
      <c r="B4" s="249" t="s">
        <v>28</v>
      </c>
      <c r="C4" s="249"/>
      <c r="D4" s="106">
        <v>5170</v>
      </c>
      <c r="E4" s="1" t="s">
        <v>26</v>
      </c>
      <c r="G4" s="306" t="s">
        <v>190</v>
      </c>
    </row>
    <row r="5" spans="1:14">
      <c r="B5" s="249" t="s">
        <v>25</v>
      </c>
      <c r="C5" s="249"/>
      <c r="D5" s="1">
        <v>0.2</v>
      </c>
      <c r="E5" s="1" t="s">
        <v>27</v>
      </c>
    </row>
    <row r="7" spans="1:14" s="3" customFormat="1" ht="18" customHeight="1">
      <c r="A7" s="15" t="s">
        <v>1</v>
      </c>
      <c r="B7" s="16" t="s">
        <v>2</v>
      </c>
      <c r="C7" s="17"/>
      <c r="D7" s="18"/>
      <c r="E7" s="15" t="s">
        <v>3</v>
      </c>
    </row>
    <row r="8" spans="1:14" ht="16.5" customHeight="1">
      <c r="A8" s="246" t="s">
        <v>15</v>
      </c>
      <c r="B8" s="12" t="s">
        <v>4</v>
      </c>
      <c r="C8" s="13"/>
      <c r="D8" s="107">
        <v>7.2</v>
      </c>
      <c r="E8" s="213"/>
    </row>
    <row r="9" spans="1:14" ht="16.5" customHeight="1">
      <c r="A9" s="247"/>
      <c r="B9" s="8" t="s">
        <v>5</v>
      </c>
      <c r="C9" s="5"/>
      <c r="D9" s="100">
        <v>200</v>
      </c>
      <c r="E9" s="6"/>
    </row>
    <row r="10" spans="1:14" ht="33.75" customHeight="1">
      <c r="A10" s="247"/>
      <c r="B10" s="9" t="s">
        <v>7</v>
      </c>
      <c r="C10" s="5"/>
      <c r="D10" s="108">
        <v>8</v>
      </c>
      <c r="E10" s="6"/>
    </row>
    <row r="11" spans="1:14" ht="33.75" customHeight="1">
      <c r="A11" s="248"/>
      <c r="B11" s="20" t="s">
        <v>8</v>
      </c>
      <c r="C11" s="11"/>
      <c r="D11" s="109">
        <v>20</v>
      </c>
      <c r="E11" s="119" t="s">
        <v>31</v>
      </c>
    </row>
    <row r="12" spans="1:14" ht="34.5" customHeight="1">
      <c r="A12" s="253" t="s">
        <v>168</v>
      </c>
      <c r="B12" s="12" t="s">
        <v>9</v>
      </c>
      <c r="C12" s="13"/>
      <c r="D12" s="110">
        <v>200</v>
      </c>
      <c r="E12" s="121" t="s">
        <v>85</v>
      </c>
      <c r="G12" s="306" t="s">
        <v>191</v>
      </c>
    </row>
    <row r="13" spans="1:14" ht="16.5" customHeight="1">
      <c r="A13" s="254"/>
      <c r="B13" s="10" t="s">
        <v>30</v>
      </c>
      <c r="C13" s="11"/>
      <c r="D13" s="109">
        <v>17.899999999999999</v>
      </c>
      <c r="E13" s="7" t="s">
        <v>167</v>
      </c>
      <c r="G13" s="306" t="s">
        <v>192</v>
      </c>
      <c r="K13" s="1" t="s">
        <v>186</v>
      </c>
      <c r="N13" s="243"/>
    </row>
    <row r="14" spans="1:14" ht="16.5" customHeight="1">
      <c r="A14" s="246" t="s">
        <v>16</v>
      </c>
      <c r="B14" s="12" t="s">
        <v>4</v>
      </c>
      <c r="C14" s="13"/>
      <c r="D14" s="107">
        <v>7.2</v>
      </c>
      <c r="E14" s="213"/>
      <c r="K14" s="1" t="s">
        <v>187</v>
      </c>
      <c r="L14" s="244">
        <v>60</v>
      </c>
      <c r="M14" s="1" t="s">
        <v>188</v>
      </c>
      <c r="N14" s="245">
        <f>ROUNDDOWN(134*L14/0.447213/1000,2)</f>
        <v>17.97</v>
      </c>
    </row>
    <row r="15" spans="1:14" ht="16.5" customHeight="1">
      <c r="A15" s="247"/>
      <c r="B15" s="8" t="s">
        <v>5</v>
      </c>
      <c r="C15" s="5"/>
      <c r="D15" s="100">
        <v>200</v>
      </c>
      <c r="E15" s="6"/>
      <c r="K15" s="1" t="s">
        <v>189</v>
      </c>
    </row>
    <row r="16" spans="1:14" ht="16.5" customHeight="1">
      <c r="A16" s="248"/>
      <c r="B16" s="10" t="s">
        <v>6</v>
      </c>
      <c r="C16" s="11"/>
      <c r="D16" s="109">
        <v>12.5</v>
      </c>
      <c r="E16" s="7"/>
    </row>
    <row r="17" spans="1:9" ht="16.5" customHeight="1">
      <c r="A17" s="250" t="s">
        <v>17</v>
      </c>
      <c r="B17" s="12" t="s">
        <v>4</v>
      </c>
      <c r="C17" s="13"/>
      <c r="D17" s="107">
        <v>7.2</v>
      </c>
      <c r="E17" s="14"/>
    </row>
    <row r="18" spans="1:9" ht="16.5" customHeight="1">
      <c r="A18" s="251"/>
      <c r="B18" s="8" t="s">
        <v>5</v>
      </c>
      <c r="C18" s="5"/>
      <c r="D18" s="100">
        <v>1</v>
      </c>
      <c r="E18" s="120" t="s">
        <v>37</v>
      </c>
    </row>
    <row r="19" spans="1:9" ht="16.5" customHeight="1">
      <c r="A19" s="251"/>
      <c r="B19" s="8" t="s">
        <v>10</v>
      </c>
      <c r="C19" s="5"/>
      <c r="D19" s="111">
        <v>40</v>
      </c>
      <c r="E19" s="6"/>
    </row>
    <row r="20" spans="1:9" ht="34.5" customHeight="1">
      <c r="A20" s="252"/>
      <c r="B20" s="20" t="s">
        <v>11</v>
      </c>
      <c r="C20" s="11"/>
      <c r="D20" s="109">
        <v>1.5</v>
      </c>
      <c r="E20" s="119" t="s">
        <v>166</v>
      </c>
      <c r="G20" s="306" t="s">
        <v>193</v>
      </c>
    </row>
    <row r="21" spans="1:9" ht="16.5" customHeight="1">
      <c r="A21" s="246" t="s">
        <v>86</v>
      </c>
      <c r="B21" s="12" t="s">
        <v>4</v>
      </c>
      <c r="C21" s="13"/>
      <c r="D21" s="107">
        <v>7.2</v>
      </c>
      <c r="E21" s="213" t="s">
        <v>90</v>
      </c>
    </row>
    <row r="22" spans="1:9" ht="16.5" customHeight="1">
      <c r="A22" s="247"/>
      <c r="B22" s="8" t="s">
        <v>5</v>
      </c>
      <c r="C22" s="5"/>
      <c r="D22" s="100">
        <v>400</v>
      </c>
      <c r="E22" s="6"/>
    </row>
    <row r="23" spans="1:9" ht="16.5" customHeight="1">
      <c r="A23" s="247"/>
      <c r="B23" s="8" t="s">
        <v>10</v>
      </c>
      <c r="C23" s="5"/>
      <c r="D23" s="108">
        <v>8</v>
      </c>
      <c r="E23" s="6"/>
    </row>
    <row r="24" spans="1:9" ht="16.5" customHeight="1">
      <c r="A24" s="247"/>
      <c r="B24" s="8" t="s">
        <v>6</v>
      </c>
      <c r="C24" s="5"/>
      <c r="D24" s="108">
        <v>8</v>
      </c>
      <c r="E24" s="6"/>
    </row>
    <row r="25" spans="1:9" ht="34.5" customHeight="1">
      <c r="A25" s="247"/>
      <c r="B25" s="9" t="s">
        <v>8</v>
      </c>
      <c r="C25" s="5"/>
      <c r="D25" s="108">
        <v>20</v>
      </c>
      <c r="E25" s="118" t="s">
        <v>31</v>
      </c>
    </row>
    <row r="26" spans="1:9" ht="16.5" customHeight="1">
      <c r="A26" s="248"/>
      <c r="B26" s="10" t="s">
        <v>12</v>
      </c>
      <c r="C26" s="104" t="s">
        <v>22</v>
      </c>
      <c r="D26" s="112"/>
      <c r="E26" s="117"/>
    </row>
    <row r="27" spans="1:9" ht="16.5" customHeight="1">
      <c r="A27" s="250" t="s">
        <v>33</v>
      </c>
      <c r="B27" s="12" t="s">
        <v>18</v>
      </c>
      <c r="C27" s="13"/>
      <c r="D27" s="100">
        <v>100</v>
      </c>
      <c r="E27" s="213" t="s">
        <v>178</v>
      </c>
      <c r="G27" s="1" t="s">
        <v>185</v>
      </c>
    </row>
    <row r="28" spans="1:9" ht="16.5" customHeight="1" thickBot="1">
      <c r="A28" s="251"/>
      <c r="B28" s="8" t="s">
        <v>19</v>
      </c>
      <c r="C28" s="5"/>
      <c r="D28" s="100">
        <v>5</v>
      </c>
      <c r="E28" s="222"/>
    </row>
    <row r="29" spans="1:9" ht="16.5" customHeight="1">
      <c r="A29" s="251"/>
      <c r="B29" s="255" t="s">
        <v>20</v>
      </c>
      <c r="C29" s="5" t="s">
        <v>32</v>
      </c>
      <c r="D29" s="113">
        <v>40</v>
      </c>
      <c r="E29" s="222">
        <f>SQRT($D$4^2*0.1/$D$27^2)</f>
        <v>16.34897550307052</v>
      </c>
      <c r="F29" s="240" t="s">
        <v>177</v>
      </c>
      <c r="G29" s="237" t="s">
        <v>173</v>
      </c>
      <c r="H29" s="238" t="s">
        <v>175</v>
      </c>
    </row>
    <row r="30" spans="1:9" ht="16.5" customHeight="1" thickBot="1">
      <c r="A30" s="251"/>
      <c r="B30" s="256"/>
      <c r="C30" s="241" t="s">
        <v>179</v>
      </c>
      <c r="D30" s="113">
        <f>30*10^3/D27</f>
        <v>300</v>
      </c>
      <c r="E30" s="223">
        <f>$D$4*2.2/$D$27/2.5</f>
        <v>45.496000000000009</v>
      </c>
      <c r="F30" s="240" t="s">
        <v>177</v>
      </c>
      <c r="G30" s="237" t="s">
        <v>174</v>
      </c>
      <c r="H30" s="239" t="s">
        <v>176</v>
      </c>
      <c r="I30" s="1" t="s">
        <v>180</v>
      </c>
    </row>
    <row r="31" spans="1:9" ht="16.5" customHeight="1">
      <c r="A31" s="252"/>
      <c r="B31" s="10" t="s">
        <v>21</v>
      </c>
      <c r="C31" s="11" t="s">
        <v>149</v>
      </c>
      <c r="D31" s="114">
        <v>10</v>
      </c>
      <c r="E31" s="7"/>
      <c r="G31" s="1" t="s">
        <v>181</v>
      </c>
    </row>
    <row r="32" spans="1:9" ht="16.5" customHeight="1">
      <c r="A32" s="250" t="s">
        <v>29</v>
      </c>
      <c r="B32" s="12" t="s">
        <v>4</v>
      </c>
      <c r="C32" s="13"/>
      <c r="D32" s="107" t="s">
        <v>35</v>
      </c>
      <c r="E32" s="14"/>
    </row>
    <row r="33" spans="1:5" ht="16.5" customHeight="1">
      <c r="A33" s="251"/>
      <c r="B33" s="8" t="s">
        <v>5</v>
      </c>
      <c r="C33" s="5"/>
      <c r="D33" s="115" t="s">
        <v>36</v>
      </c>
      <c r="E33" s="6"/>
    </row>
    <row r="34" spans="1:5" ht="16.5" customHeight="1">
      <c r="A34" s="251"/>
      <c r="B34" s="8" t="s">
        <v>13</v>
      </c>
      <c r="C34" s="5"/>
      <c r="D34" s="108" t="s">
        <v>34</v>
      </c>
      <c r="E34" s="116" t="s">
        <v>24</v>
      </c>
    </row>
    <row r="35" spans="1:5" ht="34.5" customHeight="1">
      <c r="A35" s="252"/>
      <c r="B35" s="10" t="s">
        <v>14</v>
      </c>
      <c r="C35" s="11"/>
      <c r="D35" s="109" t="s">
        <v>34</v>
      </c>
      <c r="E35" s="117" t="s">
        <v>23</v>
      </c>
    </row>
  </sheetData>
  <mergeCells count="10">
    <mergeCell ref="A8:A11"/>
    <mergeCell ref="B4:C4"/>
    <mergeCell ref="B5:C5"/>
    <mergeCell ref="A32:A35"/>
    <mergeCell ref="A27:A31"/>
    <mergeCell ref="A21:A26"/>
    <mergeCell ref="A17:A20"/>
    <mergeCell ref="A14:A16"/>
    <mergeCell ref="A12:A13"/>
    <mergeCell ref="B29:B30"/>
  </mergeCells>
  <phoneticPr fontId="1"/>
  <conditionalFormatting sqref="D29:D30">
    <cfRule type="cellIs" dxfId="0" priority="1" stopIfTrue="1" operator="lessThan">
      <formula>$E29</formula>
    </cfRule>
  </conditionalFormatting>
  <pageMargins left="0.78740157480314965" right="0.55118110236220474" top="0.98425196850393704" bottom="0.78740157480314965" header="0.51181102362204722" footer="0.51181102362204722"/>
  <pageSetup paperSize="9" orientation="portrait" blackAndWhite="1" horizontalDpi="300" verticalDpi="300" r:id="rId1"/>
  <headerFooter alignWithMargins="0">
    <oddFooter>&amp;R&amp;"ＭＳ 明朝,標準"&amp;8一般社団法人 北陸電気管理技術者協会
綾部電気管理事務所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pane ySplit="9" topLeftCell="A10" activePane="bottomLeft" state="frozen"/>
      <selection pane="bottomLeft" activeCell="G3" sqref="G3"/>
    </sheetView>
  </sheetViews>
  <sheetFormatPr defaultColWidth="9" defaultRowHeight="13.5"/>
  <cols>
    <col min="1" max="1" width="3.75" style="1" customWidth="1"/>
    <col min="2" max="2" width="9.875" style="1" customWidth="1"/>
    <col min="3" max="3" width="17.75" style="1" customWidth="1"/>
    <col min="4" max="6" width="9.875" style="1" customWidth="1"/>
    <col min="7" max="7" width="26.875" style="1" customWidth="1"/>
    <col min="8" max="8" width="3.75" style="1" customWidth="1"/>
    <col min="9" max="9" width="19" style="1" customWidth="1"/>
    <col min="10" max="16384" width="9" style="1"/>
  </cols>
  <sheetData>
    <row r="1" spans="1:9" ht="36" customHeight="1">
      <c r="A1" s="19" t="s">
        <v>38</v>
      </c>
      <c r="B1" s="19"/>
      <c r="C1" s="4"/>
      <c r="D1" s="4"/>
      <c r="E1" s="4"/>
      <c r="F1" s="4"/>
      <c r="G1" s="4"/>
    </row>
    <row r="2" spans="1:9" ht="15" customHeight="1">
      <c r="A2" s="2" t="str">
        <f>OC強度!A2</f>
        <v>Ａショップ　Ａ店</v>
      </c>
      <c r="B2" s="2"/>
      <c r="G2" s="95">
        <v>44871</v>
      </c>
      <c r="I2" s="124" t="s">
        <v>94</v>
      </c>
    </row>
    <row r="3" spans="1:9">
      <c r="I3" s="211" t="s">
        <v>144</v>
      </c>
    </row>
    <row r="4" spans="1:9">
      <c r="A4" s="249" t="s">
        <v>40</v>
      </c>
      <c r="B4" s="249"/>
      <c r="C4" s="249"/>
      <c r="D4" s="1">
        <f>OC強度!D4</f>
        <v>5170</v>
      </c>
      <c r="E4" s="257">
        <f>D4*0.43</f>
        <v>2223.1</v>
      </c>
      <c r="F4" s="257"/>
      <c r="G4" s="257"/>
    </row>
    <row r="5" spans="1:9">
      <c r="A5" s="249" t="s">
        <v>41</v>
      </c>
      <c r="B5" s="249"/>
      <c r="C5" s="249"/>
      <c r="D5" s="215" t="s">
        <v>151</v>
      </c>
      <c r="E5" s="215"/>
      <c r="F5" s="258">
        <f>MAX(Ｔｒ群!$H$16:$J$16)</f>
        <v>697.19339900167915</v>
      </c>
      <c r="G5" s="258"/>
    </row>
    <row r="6" spans="1:9">
      <c r="A6" s="25"/>
      <c r="B6" s="25"/>
      <c r="C6" s="25"/>
      <c r="D6" s="215" t="s">
        <v>145</v>
      </c>
      <c r="E6" s="215"/>
      <c r="F6" s="224">
        <f>SUM(Ｔｒ群!$H$16:$J$16)</f>
        <v>968.02316163972182</v>
      </c>
      <c r="G6" s="226" t="s">
        <v>150</v>
      </c>
    </row>
    <row r="7" spans="1:9">
      <c r="A7" s="249" t="s">
        <v>39</v>
      </c>
      <c r="B7" s="249"/>
      <c r="C7" s="249"/>
      <c r="G7" s="29">
        <v>0.16</v>
      </c>
    </row>
    <row r="9" spans="1:9" s="3" customFormat="1" ht="21.75" customHeight="1">
      <c r="A9" s="32" t="s">
        <v>42</v>
      </c>
      <c r="B9" s="16"/>
      <c r="C9" s="16" t="s">
        <v>2</v>
      </c>
      <c r="D9" s="17"/>
      <c r="E9" s="17"/>
      <c r="F9" s="18"/>
      <c r="G9" s="15" t="s">
        <v>3</v>
      </c>
    </row>
    <row r="10" spans="1:9" ht="34.5" customHeight="1">
      <c r="A10" s="268" t="s">
        <v>47</v>
      </c>
      <c r="B10" s="269"/>
      <c r="C10" s="30" t="s">
        <v>48</v>
      </c>
      <c r="D10" s="36" t="s">
        <v>83</v>
      </c>
      <c r="E10" s="17"/>
      <c r="F10" s="96">
        <f>3/60</f>
        <v>0.05</v>
      </c>
      <c r="G10" s="214" t="s">
        <v>81</v>
      </c>
    </row>
    <row r="11" spans="1:9" ht="21" customHeight="1">
      <c r="A11" s="262" t="s">
        <v>43</v>
      </c>
      <c r="B11" s="263"/>
      <c r="C11" s="12" t="s">
        <v>18</v>
      </c>
      <c r="D11" s="13"/>
      <c r="E11" s="27"/>
      <c r="F11" s="22">
        <f>OC強度!D27</f>
        <v>100</v>
      </c>
      <c r="G11" s="210" t="s">
        <v>90</v>
      </c>
    </row>
    <row r="12" spans="1:9" ht="21" customHeight="1">
      <c r="A12" s="264"/>
      <c r="B12" s="265"/>
      <c r="C12" s="8" t="s">
        <v>19</v>
      </c>
      <c r="D12" s="5"/>
      <c r="E12" s="28"/>
      <c r="F12" s="21">
        <f>OC強度!D28</f>
        <v>5</v>
      </c>
      <c r="G12" s="85"/>
    </row>
    <row r="13" spans="1:9" ht="21" customHeight="1">
      <c r="A13" s="264"/>
      <c r="B13" s="265"/>
      <c r="C13" s="8" t="s">
        <v>49</v>
      </c>
      <c r="D13" s="5"/>
      <c r="E13" s="28"/>
      <c r="F13" s="37">
        <f>F11/F12</f>
        <v>20</v>
      </c>
      <c r="G13" s="85"/>
    </row>
    <row r="14" spans="1:9" ht="34.5" customHeight="1">
      <c r="A14" s="266"/>
      <c r="B14" s="267"/>
      <c r="C14" s="20" t="s">
        <v>50</v>
      </c>
      <c r="D14" s="33" t="s">
        <v>82</v>
      </c>
      <c r="E14" s="34"/>
      <c r="F14" s="35">
        <f>OC強度!D31</f>
        <v>10</v>
      </c>
      <c r="G14" s="86"/>
    </row>
    <row r="15" spans="1:9" ht="21" customHeight="1">
      <c r="A15" s="259" t="s">
        <v>44</v>
      </c>
      <c r="B15" s="246" t="s">
        <v>45</v>
      </c>
      <c r="C15" s="12" t="s">
        <v>182</v>
      </c>
      <c r="D15" s="97" t="s">
        <v>78</v>
      </c>
      <c r="E15" s="98"/>
      <c r="F15" s="99"/>
      <c r="G15" s="209" t="s">
        <v>90</v>
      </c>
    </row>
    <row r="16" spans="1:9" ht="21" customHeight="1">
      <c r="A16" s="260"/>
      <c r="B16" s="247"/>
      <c r="C16" s="8" t="s">
        <v>183</v>
      </c>
      <c r="D16" s="88"/>
      <c r="E16" s="89"/>
      <c r="F16" s="100">
        <v>50</v>
      </c>
      <c r="G16" s="212"/>
    </row>
    <row r="17" spans="1:9" ht="34.5" customHeight="1">
      <c r="A17" s="260"/>
      <c r="B17" s="247"/>
      <c r="C17" s="9" t="s">
        <v>52</v>
      </c>
      <c r="D17" s="216">
        <f>F16</f>
        <v>50</v>
      </c>
      <c r="E17" s="80">
        <f>F13</f>
        <v>20</v>
      </c>
      <c r="F17" s="21">
        <f>D17*E17</f>
        <v>1000</v>
      </c>
      <c r="G17" s="26" t="str">
        <f>IF(E4&gt;F17,IF(F17&gt;F5,"Ｉｓ＞Ｉｔ＞Ｉｐであり可","Ｉｓ＞Ｉｔ＞Ｉｐでなく不可"),"Ｉｓ＞Ｉｔ＞Ｉｐでなく不可")</f>
        <v>Ｉｓ＞Ｉｔ＞Ｉｐであり可</v>
      </c>
    </row>
    <row r="18" spans="1:9" ht="34.5" customHeight="1">
      <c r="A18" s="260"/>
      <c r="B18" s="247"/>
      <c r="C18" s="8" t="s">
        <v>53</v>
      </c>
      <c r="D18" s="83" t="s">
        <v>84</v>
      </c>
      <c r="E18" s="79"/>
      <c r="F18" s="225">
        <v>0.05</v>
      </c>
      <c r="G18" s="26" t="str">
        <f>IF(G7&lt;=F10+F18,"Ｔ＜ｔ1+ｔ2につき不可","Ｔ＞ｔ1+ｔ2につき可")</f>
        <v>Ｔ＞ｔ1+ｔ2につき可</v>
      </c>
    </row>
    <row r="19" spans="1:9" ht="17.25" customHeight="1">
      <c r="A19" s="260"/>
      <c r="B19" s="247"/>
      <c r="C19" s="218" t="s">
        <v>54</v>
      </c>
      <c r="D19" s="81" t="s">
        <v>51</v>
      </c>
      <c r="E19" s="82"/>
      <c r="F19" s="42"/>
      <c r="G19" s="85"/>
    </row>
    <row r="20" spans="1:9" ht="17.25" customHeight="1">
      <c r="A20" s="260"/>
      <c r="B20" s="248"/>
      <c r="C20" s="43" t="s">
        <v>55</v>
      </c>
      <c r="D20" s="41">
        <f>F14</f>
        <v>10</v>
      </c>
      <c r="E20" s="40">
        <f>F11</f>
        <v>100</v>
      </c>
      <c r="F20" s="39">
        <f>D20*E20</f>
        <v>1000</v>
      </c>
      <c r="G20" s="38" t="str">
        <f>IF(F17&gt;F20,"Ｉｃ＞Ｉｔでなく不可","Ｉｃ＞Ｉｔであり可")</f>
        <v>Ｉｃ＞Ｉｔであり可</v>
      </c>
    </row>
    <row r="21" spans="1:9" ht="21" customHeight="1">
      <c r="A21" s="260"/>
      <c r="B21" s="246" t="s">
        <v>46</v>
      </c>
      <c r="C21" s="12" t="s">
        <v>182</v>
      </c>
      <c r="D21" s="97" t="s">
        <v>79</v>
      </c>
      <c r="E21" s="98"/>
      <c r="F21" s="99"/>
      <c r="G21" s="209"/>
    </row>
    <row r="22" spans="1:9" ht="21" customHeight="1">
      <c r="A22" s="260"/>
      <c r="B22" s="247"/>
      <c r="C22" s="8" t="s">
        <v>183</v>
      </c>
      <c r="D22" s="88"/>
      <c r="E22" s="89"/>
      <c r="F22" s="115">
        <v>3.5</v>
      </c>
      <c r="G22" s="84">
        <f>F22*F13*6.6*3^0.5</f>
        <v>800.20747309682122</v>
      </c>
    </row>
    <row r="23" spans="1:9" ht="30.75" customHeight="1">
      <c r="A23" s="260"/>
      <c r="B23" s="247"/>
      <c r="C23" s="8" t="s">
        <v>184</v>
      </c>
      <c r="D23" s="101" t="s">
        <v>80</v>
      </c>
      <c r="E23" s="102"/>
      <c r="F23" s="103"/>
      <c r="G23" s="87"/>
    </row>
    <row r="24" spans="1:9" ht="21" customHeight="1">
      <c r="A24" s="261"/>
      <c r="B24" s="248"/>
      <c r="C24" s="10" t="s">
        <v>183</v>
      </c>
      <c r="D24" s="90"/>
      <c r="E24" s="91"/>
      <c r="F24" s="122">
        <v>1</v>
      </c>
      <c r="G24" s="86"/>
    </row>
    <row r="28" spans="1:9">
      <c r="I28" s="217" t="s">
        <v>147</v>
      </c>
    </row>
    <row r="29" spans="1:9">
      <c r="I29" s="217" t="s">
        <v>148</v>
      </c>
    </row>
  </sheetData>
  <mergeCells count="10">
    <mergeCell ref="E4:G4"/>
    <mergeCell ref="F5:G5"/>
    <mergeCell ref="A15:A24"/>
    <mergeCell ref="A11:B14"/>
    <mergeCell ref="B15:B20"/>
    <mergeCell ref="B21:B24"/>
    <mergeCell ref="A10:B10"/>
    <mergeCell ref="A4:C4"/>
    <mergeCell ref="A7:C7"/>
    <mergeCell ref="A5:C5"/>
  </mergeCells>
  <phoneticPr fontId="1"/>
  <dataValidations count="1">
    <dataValidation imeMode="off" allowBlank="1" showInputMessage="1" showErrorMessage="1" sqref="F5:G5" xr:uid="{00000000-0002-0000-0100-000000000000}"/>
  </dataValidations>
  <pageMargins left="0.78740157480314965" right="0.55118110236220474" top="0.86614173228346458" bottom="0.78740157480314965" header="0.51181102362204722" footer="0.51181102362204722"/>
  <pageSetup paperSize="9" orientation="portrait" blackAndWhite="1" horizontalDpi="300" verticalDpi="300" r:id="rId1"/>
  <headerFooter alignWithMargins="0">
    <oddFooter>&amp;R&amp;"ＭＳ 明朝,標準"&amp;8一般社団法人 北陸電気管理技術者協会
綾部電気管理事務所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workbookViewId="0">
      <selection activeCell="J4" sqref="J4"/>
    </sheetView>
  </sheetViews>
  <sheetFormatPr defaultColWidth="9" defaultRowHeight="13.5"/>
  <cols>
    <col min="1" max="1" width="9.625" style="1" customWidth="1"/>
    <col min="2" max="2" width="5.375" style="1" customWidth="1"/>
    <col min="3" max="3" width="5" style="1" customWidth="1"/>
    <col min="4" max="4" width="6.375" style="1" customWidth="1"/>
    <col min="5" max="6" width="9.875" style="1" customWidth="1"/>
    <col min="7" max="7" width="9.75" style="1" customWidth="1"/>
    <col min="8" max="11" width="9" style="1"/>
    <col min="12" max="12" width="15.25" style="1" customWidth="1"/>
    <col min="13" max="13" width="15.625" style="1" customWidth="1"/>
    <col min="14" max="14" width="19.25" style="1" customWidth="1"/>
    <col min="15" max="15" width="9" style="1"/>
    <col min="16" max="16" width="15.625" style="1" customWidth="1"/>
    <col min="17" max="16384" width="9" style="1"/>
  </cols>
  <sheetData>
    <row r="1" spans="1:18" ht="36" customHeight="1">
      <c r="A1" s="19" t="s">
        <v>71</v>
      </c>
      <c r="B1" s="19"/>
      <c r="C1" s="4"/>
      <c r="D1" s="4"/>
      <c r="E1" s="4"/>
      <c r="F1" s="4"/>
      <c r="G1" s="4"/>
      <c r="H1" s="4"/>
      <c r="I1" s="4"/>
      <c r="J1" s="4"/>
      <c r="K1" s="4"/>
    </row>
    <row r="2" spans="1:18" ht="15" customHeight="1">
      <c r="A2" s="2" t="str">
        <f>OC強度!A2</f>
        <v>Ａショップ　Ａ店</v>
      </c>
      <c r="B2" s="2"/>
      <c r="J2" s="272">
        <v>44871</v>
      </c>
      <c r="K2" s="272"/>
    </row>
    <row r="3" spans="1:18" ht="13.5" customHeight="1"/>
    <row r="4" spans="1:18" ht="21" customHeight="1">
      <c r="A4" s="273" t="s">
        <v>77</v>
      </c>
      <c r="B4" s="273"/>
      <c r="C4" s="273"/>
      <c r="D4" s="273"/>
      <c r="E4" s="273"/>
      <c r="F4" s="273"/>
    </row>
    <row r="5" spans="1:18" s="3" customFormat="1" ht="20.25" customHeight="1">
      <c r="A5" s="47" t="s">
        <v>57</v>
      </c>
      <c r="B5" s="48" t="s">
        <v>59</v>
      </c>
      <c r="C5" s="49" t="s">
        <v>60</v>
      </c>
      <c r="D5" s="50"/>
      <c r="E5" s="53" t="s">
        <v>5</v>
      </c>
      <c r="F5" s="54" t="s">
        <v>61</v>
      </c>
      <c r="G5" s="48" t="s">
        <v>62</v>
      </c>
      <c r="H5" s="57" t="s">
        <v>56</v>
      </c>
      <c r="I5" s="58"/>
      <c r="J5" s="59"/>
      <c r="K5" s="23" t="s">
        <v>69</v>
      </c>
      <c r="L5" s="242"/>
      <c r="M5" s="4"/>
      <c r="N5" s="4"/>
      <c r="P5" s="233" t="s">
        <v>172</v>
      </c>
      <c r="Q5" s="233"/>
      <c r="R5" s="233"/>
    </row>
    <row r="6" spans="1:18" s="3" customFormat="1" ht="20.25" customHeight="1">
      <c r="A6" s="44" t="s">
        <v>58</v>
      </c>
      <c r="B6" s="46" t="s">
        <v>58</v>
      </c>
      <c r="C6" s="51" t="s">
        <v>63</v>
      </c>
      <c r="D6" s="52"/>
      <c r="E6" s="44" t="s">
        <v>64</v>
      </c>
      <c r="F6" s="45" t="s">
        <v>65</v>
      </c>
      <c r="G6" s="94" t="s">
        <v>89</v>
      </c>
      <c r="H6" s="60" t="s">
        <v>66</v>
      </c>
      <c r="I6" s="61" t="s">
        <v>67</v>
      </c>
      <c r="J6" s="62" t="s">
        <v>68</v>
      </c>
      <c r="K6" s="24" t="s">
        <v>70</v>
      </c>
      <c r="L6" s="227" t="s">
        <v>194</v>
      </c>
      <c r="M6" s="228"/>
      <c r="N6" s="228"/>
      <c r="P6" s="229" t="s">
        <v>169</v>
      </c>
      <c r="Q6" s="229" t="s">
        <v>170</v>
      </c>
      <c r="R6" s="229" t="s">
        <v>171</v>
      </c>
    </row>
    <row r="7" spans="1:18" ht="18" customHeight="1">
      <c r="A7" s="134" t="s">
        <v>73</v>
      </c>
      <c r="B7" s="135" t="s">
        <v>95</v>
      </c>
      <c r="C7" s="219">
        <v>1</v>
      </c>
      <c r="D7" s="125">
        <v>150</v>
      </c>
      <c r="E7" s="66">
        <f>IF(D7="","",D7/6.6/C7^0.5)</f>
        <v>22.72727272727273</v>
      </c>
      <c r="F7" s="128">
        <v>20</v>
      </c>
      <c r="G7" s="129">
        <v>0.46899999999999997</v>
      </c>
      <c r="H7" s="70">
        <f>IF($B7=H$6,$E7*$F7*$G7,"")</f>
        <v>213.18181818181822</v>
      </c>
      <c r="I7" s="71" t="str">
        <f>IF($B7=I$6,$E7*$F7*$G7,"")</f>
        <v/>
      </c>
      <c r="J7" s="72" t="str">
        <f>IF($B7=J$6,$E7*$F7*$G7,"")</f>
        <v/>
      </c>
      <c r="K7" s="207"/>
      <c r="L7" s="123" t="s">
        <v>87</v>
      </c>
      <c r="M7" s="123" t="s">
        <v>91</v>
      </c>
      <c r="N7" s="123" t="s">
        <v>88</v>
      </c>
      <c r="P7" s="230">
        <f>IF(R7="","",6.6*SQRT(C7)*Q7*R7)</f>
        <v>158.39999999999998</v>
      </c>
      <c r="Q7" s="231">
        <f>40/5</f>
        <v>8</v>
      </c>
      <c r="R7" s="232">
        <v>3</v>
      </c>
    </row>
    <row r="8" spans="1:18" ht="18" customHeight="1">
      <c r="A8" s="134" t="s">
        <v>74</v>
      </c>
      <c r="B8" s="136" t="s">
        <v>96</v>
      </c>
      <c r="C8" s="219">
        <v>1</v>
      </c>
      <c r="D8" s="126">
        <v>150</v>
      </c>
      <c r="E8" s="67">
        <f t="shared" ref="E8:E15" si="0">IF(D8="","",D8/6.6/C8^0.5)</f>
        <v>22.72727272727273</v>
      </c>
      <c r="F8" s="130">
        <v>20</v>
      </c>
      <c r="G8" s="131">
        <v>0.46899999999999997</v>
      </c>
      <c r="H8" s="73">
        <f t="shared" ref="H8:J15" si="1">IF($B8=H$6,$E8*$F8*$G8,"")</f>
        <v>213.18181818181822</v>
      </c>
      <c r="I8" s="74" t="str">
        <f t="shared" si="1"/>
        <v/>
      </c>
      <c r="J8" s="75" t="str">
        <f t="shared" si="1"/>
        <v/>
      </c>
      <c r="K8" s="120"/>
      <c r="L8" s="123" t="s">
        <v>157</v>
      </c>
      <c r="M8" s="123"/>
      <c r="N8" s="123"/>
      <c r="P8" s="230">
        <f t="shared" ref="P8:P15" si="2">IF(R8="","",6.6*SQRT(C8)*Q8*R8)</f>
        <v>158.39999999999998</v>
      </c>
      <c r="Q8" s="231">
        <f>40/5</f>
        <v>8</v>
      </c>
      <c r="R8" s="232">
        <v>3</v>
      </c>
    </row>
    <row r="9" spans="1:18" ht="18" customHeight="1">
      <c r="A9" s="134" t="s">
        <v>75</v>
      </c>
      <c r="B9" s="136" t="s">
        <v>96</v>
      </c>
      <c r="C9" s="219">
        <v>3</v>
      </c>
      <c r="D9" s="126">
        <v>300</v>
      </c>
      <c r="E9" s="67">
        <f t="shared" si="0"/>
        <v>26.243194054073903</v>
      </c>
      <c r="F9" s="130">
        <v>20</v>
      </c>
      <c r="G9" s="131">
        <v>0.51600000000000001</v>
      </c>
      <c r="H9" s="73">
        <f t="shared" si="1"/>
        <v>270.82976263804272</v>
      </c>
      <c r="I9" s="74" t="str">
        <f t="shared" si="1"/>
        <v/>
      </c>
      <c r="J9" s="75" t="str">
        <f t="shared" si="1"/>
        <v/>
      </c>
      <c r="K9" s="120"/>
      <c r="L9" s="123" t="s">
        <v>92</v>
      </c>
      <c r="M9" s="123" t="s">
        <v>93</v>
      </c>
      <c r="N9" s="123" t="s">
        <v>88</v>
      </c>
      <c r="P9" s="230">
        <f t="shared" si="2"/>
        <v>342.9460598986376</v>
      </c>
      <c r="Q9" s="231">
        <f>50/5</f>
        <v>10</v>
      </c>
      <c r="R9" s="232">
        <v>3</v>
      </c>
    </row>
    <row r="10" spans="1:18" ht="18" customHeight="1">
      <c r="A10" s="134" t="s">
        <v>76</v>
      </c>
      <c r="B10" s="136" t="s">
        <v>152</v>
      </c>
      <c r="C10" s="219">
        <v>3</v>
      </c>
      <c r="D10" s="126">
        <v>300</v>
      </c>
      <c r="E10" s="67">
        <f t="shared" si="0"/>
        <v>26.243194054073903</v>
      </c>
      <c r="F10" s="130">
        <v>20</v>
      </c>
      <c r="G10" s="131">
        <v>0.51600000000000001</v>
      </c>
      <c r="H10" s="73" t="str">
        <f t="shared" si="1"/>
        <v/>
      </c>
      <c r="I10" s="74">
        <f t="shared" si="1"/>
        <v>270.82976263804272</v>
      </c>
      <c r="J10" s="75" t="str">
        <f t="shared" si="1"/>
        <v/>
      </c>
      <c r="K10" s="120"/>
      <c r="L10" s="123" t="s">
        <v>157</v>
      </c>
      <c r="M10" s="123"/>
      <c r="P10" s="230">
        <f t="shared" si="2"/>
        <v>342.9460598986376</v>
      </c>
      <c r="Q10" s="231">
        <f>50/5</f>
        <v>10</v>
      </c>
      <c r="R10" s="232">
        <v>3</v>
      </c>
    </row>
    <row r="11" spans="1:18" ht="18" customHeight="1">
      <c r="A11" s="134"/>
      <c r="B11" s="136"/>
      <c r="C11" s="219"/>
      <c r="D11" s="126"/>
      <c r="E11" s="66" t="str">
        <f t="shared" si="0"/>
        <v/>
      </c>
      <c r="F11" s="130"/>
      <c r="G11" s="131"/>
      <c r="H11" s="73" t="str">
        <f t="shared" si="1"/>
        <v/>
      </c>
      <c r="I11" s="74" t="str">
        <f t="shared" si="1"/>
        <v/>
      </c>
      <c r="J11" s="75" t="str">
        <f t="shared" si="1"/>
        <v/>
      </c>
      <c r="K11" s="120"/>
      <c r="L11" s="123"/>
      <c r="M11" s="123"/>
      <c r="N11" s="123"/>
      <c r="P11" s="230" t="str">
        <f t="shared" si="2"/>
        <v/>
      </c>
      <c r="Q11" s="231"/>
      <c r="R11" s="232"/>
    </row>
    <row r="12" spans="1:18" ht="18" customHeight="1">
      <c r="A12" s="137"/>
      <c r="B12" s="136"/>
      <c r="C12" s="220"/>
      <c r="D12" s="126"/>
      <c r="E12" s="67" t="str">
        <f t="shared" si="0"/>
        <v/>
      </c>
      <c r="F12" s="130"/>
      <c r="G12" s="131"/>
      <c r="H12" s="73" t="str">
        <f t="shared" si="1"/>
        <v/>
      </c>
      <c r="I12" s="74" t="str">
        <f t="shared" si="1"/>
        <v/>
      </c>
      <c r="J12" s="75" t="str">
        <f t="shared" si="1"/>
        <v/>
      </c>
      <c r="K12" s="120"/>
      <c r="L12" s="123" t="s">
        <v>158</v>
      </c>
      <c r="M12" s="123" t="s">
        <v>159</v>
      </c>
      <c r="N12" s="123" t="s">
        <v>88</v>
      </c>
      <c r="O12" s="1" t="s">
        <v>162</v>
      </c>
      <c r="P12" s="230" t="str">
        <f t="shared" si="2"/>
        <v/>
      </c>
      <c r="Q12" s="231"/>
      <c r="R12" s="232"/>
    </row>
    <row r="13" spans="1:18" ht="18" customHeight="1">
      <c r="A13" s="137"/>
      <c r="B13" s="136"/>
      <c r="C13" s="220"/>
      <c r="D13" s="126"/>
      <c r="E13" s="67" t="str">
        <f t="shared" si="0"/>
        <v/>
      </c>
      <c r="F13" s="130"/>
      <c r="G13" s="131"/>
      <c r="H13" s="73" t="str">
        <f t="shared" si="1"/>
        <v/>
      </c>
      <c r="I13" s="74" t="str">
        <f t="shared" si="1"/>
        <v/>
      </c>
      <c r="J13" s="75" t="str">
        <f t="shared" si="1"/>
        <v/>
      </c>
      <c r="K13" s="120"/>
      <c r="L13" s="123" t="s">
        <v>155</v>
      </c>
      <c r="M13" s="123" t="s">
        <v>156</v>
      </c>
      <c r="N13" s="123" t="s">
        <v>88</v>
      </c>
      <c r="O13" s="1" t="s">
        <v>163</v>
      </c>
      <c r="P13" s="230" t="str">
        <f t="shared" si="2"/>
        <v/>
      </c>
      <c r="Q13" s="231"/>
      <c r="R13" s="232"/>
    </row>
    <row r="14" spans="1:18" ht="18" customHeight="1">
      <c r="A14" s="137"/>
      <c r="B14" s="136"/>
      <c r="C14" s="220"/>
      <c r="D14" s="126"/>
      <c r="E14" s="67" t="str">
        <f t="shared" si="0"/>
        <v/>
      </c>
      <c r="F14" s="130"/>
      <c r="G14" s="131"/>
      <c r="H14" s="73" t="str">
        <f t="shared" si="1"/>
        <v/>
      </c>
      <c r="I14" s="74" t="str">
        <f t="shared" si="1"/>
        <v/>
      </c>
      <c r="J14" s="75" t="str">
        <f t="shared" si="1"/>
        <v/>
      </c>
      <c r="K14" s="120"/>
      <c r="L14" s="123" t="s">
        <v>153</v>
      </c>
      <c r="M14" s="123" t="s">
        <v>154</v>
      </c>
      <c r="N14" s="123" t="s">
        <v>88</v>
      </c>
      <c r="O14" s="1" t="s">
        <v>164</v>
      </c>
      <c r="P14" s="230" t="str">
        <f t="shared" si="2"/>
        <v/>
      </c>
      <c r="Q14" s="231"/>
      <c r="R14" s="232"/>
    </row>
    <row r="15" spans="1:18" ht="18" customHeight="1">
      <c r="A15" s="138"/>
      <c r="B15" s="139"/>
      <c r="C15" s="221"/>
      <c r="D15" s="127"/>
      <c r="E15" s="68" t="str">
        <f t="shared" si="0"/>
        <v/>
      </c>
      <c r="F15" s="132"/>
      <c r="G15" s="133"/>
      <c r="H15" s="76" t="str">
        <f t="shared" si="1"/>
        <v/>
      </c>
      <c r="I15" s="77" t="str">
        <f t="shared" si="1"/>
        <v/>
      </c>
      <c r="J15" s="78" t="str">
        <f t="shared" si="1"/>
        <v/>
      </c>
      <c r="K15" s="208"/>
      <c r="L15" s="123" t="s">
        <v>160</v>
      </c>
      <c r="M15" s="123" t="s">
        <v>161</v>
      </c>
      <c r="N15" s="123" t="s">
        <v>88</v>
      </c>
      <c r="O15" s="1" t="s">
        <v>165</v>
      </c>
      <c r="P15" s="230" t="str">
        <f t="shared" si="2"/>
        <v/>
      </c>
      <c r="Q15" s="231"/>
      <c r="R15" s="232"/>
    </row>
    <row r="16" spans="1:18" ht="18" customHeight="1">
      <c r="A16" s="16" t="s">
        <v>72</v>
      </c>
      <c r="B16" s="18"/>
      <c r="C16" s="270">
        <f>SUM(D7:D15)</f>
        <v>900</v>
      </c>
      <c r="D16" s="271"/>
      <c r="E16" s="69">
        <f>SUM(E7:E15)</f>
        <v>97.94093356269326</v>
      </c>
      <c r="F16" s="56"/>
      <c r="G16" s="55"/>
      <c r="H16" s="63">
        <f>SUM(H7:H15)</f>
        <v>697.19339900167915</v>
      </c>
      <c r="I16" s="64">
        <f>SUM(I7:I15)</f>
        <v>270.82976263804272</v>
      </c>
      <c r="J16" s="65">
        <f>SUM(J7:J15)</f>
        <v>0</v>
      </c>
      <c r="K16" s="31"/>
    </row>
  </sheetData>
  <mergeCells count="3">
    <mergeCell ref="C16:D16"/>
    <mergeCell ref="J2:K2"/>
    <mergeCell ref="A4:F4"/>
  </mergeCells>
  <phoneticPr fontId="1"/>
  <dataValidations count="2">
    <dataValidation imeMode="off" allowBlank="1" showInputMessage="1" showErrorMessage="1" sqref="D7:J15 P7:R15" xr:uid="{00000000-0002-0000-0200-000000000000}"/>
    <dataValidation imeMode="hiragana" allowBlank="1" showInputMessage="1" showErrorMessage="1" sqref="A7:C15 K7:K15" xr:uid="{00000000-0002-0000-0200-000001000000}"/>
  </dataValidations>
  <pageMargins left="0.6692913385826772" right="0.55118110236220474" top="0.98425196850393704" bottom="0.78740157480314965" header="0.51181102362204722" footer="0.51181102362204722"/>
  <pageSetup paperSize="9" orientation="landscape" blackAndWhite="1" horizontalDpi="300" verticalDpi="300" r:id="rId1"/>
  <headerFooter alignWithMargins="0">
    <oddFooter>&amp;R&amp;"ＭＳ 明朝,標準"&amp;8一般社団法人 北陸電気管理技術者協会
綾部電気管理事務所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workbookViewId="0">
      <pane xSplit="2" ySplit="5" topLeftCell="C6" activePane="bottomRight" state="frozenSplit"/>
      <selection pane="topRight" activeCell="C1" sqref="C1"/>
      <selection pane="bottomLeft" activeCell="A5" sqref="A5"/>
      <selection pane="bottomRight" activeCell="L4" sqref="L4"/>
    </sheetView>
  </sheetViews>
  <sheetFormatPr defaultColWidth="9" defaultRowHeight="13.5"/>
  <cols>
    <col min="1" max="1" width="5.5" style="1" customWidth="1"/>
    <col min="2" max="2" width="21.25" style="1" customWidth="1"/>
    <col min="3" max="3" width="10.125" style="1" customWidth="1"/>
    <col min="4" max="4" width="9.5" style="1" customWidth="1"/>
    <col min="5" max="6" width="10.125" style="1" customWidth="1"/>
    <col min="7" max="7" width="9.5" style="1" customWidth="1"/>
    <col min="8" max="8" width="11.75" style="1" customWidth="1"/>
    <col min="9" max="9" width="3.75" style="1" customWidth="1"/>
    <col min="10" max="10" width="19" style="1" customWidth="1"/>
    <col min="11" max="11" width="10.75" style="1" customWidth="1"/>
    <col min="12" max="12" width="24.375" style="1" customWidth="1"/>
    <col min="13" max="16384" width="9" style="1"/>
  </cols>
  <sheetData>
    <row r="1" spans="1:12" s="189" customFormat="1" ht="39.75" customHeight="1">
      <c r="A1" s="187" t="s">
        <v>97</v>
      </c>
      <c r="B1" s="187"/>
      <c r="C1" s="188"/>
      <c r="D1" s="188"/>
      <c r="E1" s="188"/>
      <c r="F1" s="188"/>
      <c r="G1" s="188"/>
      <c r="H1" s="188"/>
    </row>
    <row r="2" spans="1:12" ht="19.5" customHeight="1">
      <c r="A2" s="2" t="str">
        <f>OC強度!A2</f>
        <v>Ａショップ　Ａ店</v>
      </c>
      <c r="B2" s="2"/>
      <c r="G2" s="298">
        <v>44871</v>
      </c>
      <c r="H2" s="298"/>
      <c r="J2" s="124" t="s">
        <v>94</v>
      </c>
    </row>
    <row r="3" spans="1:12" ht="6" customHeight="1"/>
    <row r="4" spans="1:12" s="3" customFormat="1" ht="24" customHeight="1">
      <c r="A4" s="262" t="s">
        <v>111</v>
      </c>
      <c r="B4" s="263"/>
      <c r="C4" s="140" t="s">
        <v>98</v>
      </c>
      <c r="D4" s="205">
        <v>300</v>
      </c>
      <c r="E4" s="143" t="s">
        <v>139</v>
      </c>
      <c r="F4" s="140" t="s">
        <v>99</v>
      </c>
      <c r="G4" s="205">
        <v>150</v>
      </c>
      <c r="H4" s="143" t="s">
        <v>139</v>
      </c>
    </row>
    <row r="5" spans="1:12" s="3" customFormat="1" ht="18.75" customHeight="1">
      <c r="A5" s="266"/>
      <c r="B5" s="267"/>
      <c r="C5" s="174"/>
      <c r="D5" s="175"/>
      <c r="E5" s="186"/>
      <c r="F5" s="141"/>
      <c r="G5" s="172"/>
      <c r="H5" s="142"/>
    </row>
    <row r="6" spans="1:12" ht="33" customHeight="1">
      <c r="A6" s="148" t="s">
        <v>102</v>
      </c>
      <c r="B6" s="149" t="s">
        <v>100</v>
      </c>
      <c r="C6" s="173" t="s">
        <v>140</v>
      </c>
      <c r="D6" s="206">
        <f>250*2</f>
        <v>500</v>
      </c>
      <c r="E6" s="235" t="s">
        <v>141</v>
      </c>
      <c r="F6" s="173" t="s">
        <v>140</v>
      </c>
      <c r="G6" s="206">
        <f>200*2</f>
        <v>400</v>
      </c>
      <c r="H6" s="235" t="s">
        <v>142</v>
      </c>
    </row>
    <row r="7" spans="1:12" ht="33" customHeight="1">
      <c r="A7" s="150" t="s">
        <v>103</v>
      </c>
      <c r="B7" s="201" t="s">
        <v>101</v>
      </c>
      <c r="C7" s="146"/>
      <c r="D7" s="176">
        <f>IF(D6="","",110*D6/0.1^0.5)</f>
        <v>173925.27130926086</v>
      </c>
      <c r="E7" s="147" t="s">
        <v>128</v>
      </c>
      <c r="F7" s="146"/>
      <c r="G7" s="176">
        <f>IF(G6="","",110*G6/0.1^0.5)</f>
        <v>139140.21704740869</v>
      </c>
      <c r="H7" s="147" t="s">
        <v>128</v>
      </c>
      <c r="J7" s="1" t="s">
        <v>196</v>
      </c>
    </row>
    <row r="8" spans="1:12" ht="33" customHeight="1">
      <c r="A8" s="92" t="s">
        <v>115</v>
      </c>
      <c r="B8" s="93"/>
      <c r="C8" s="92"/>
      <c r="D8" s="236">
        <f>$L$8*100</f>
        <v>16.920176695083107</v>
      </c>
      <c r="E8" s="93" t="s">
        <v>119</v>
      </c>
      <c r="F8" s="92"/>
      <c r="G8" s="236">
        <f>$L$8*100</f>
        <v>16.920176695083107</v>
      </c>
      <c r="H8" s="93" t="s">
        <v>119</v>
      </c>
      <c r="J8" s="1" t="s">
        <v>113</v>
      </c>
      <c r="L8" s="234">
        <f>10^4/SQRT(3)/6.6/OC強度!$D$4</f>
        <v>0.16920176695083108</v>
      </c>
    </row>
    <row r="9" spans="1:12" ht="28.5" customHeight="1">
      <c r="A9" s="280" t="s">
        <v>116</v>
      </c>
      <c r="B9" s="281"/>
      <c r="C9" s="155" t="s">
        <v>112</v>
      </c>
      <c r="D9" s="299">
        <v>2.5</v>
      </c>
      <c r="E9" s="301">
        <f>IF(D9="","",10000/C10*D9)</f>
        <v>83.333333333333343</v>
      </c>
      <c r="F9" s="155" t="s">
        <v>112</v>
      </c>
      <c r="G9" s="304">
        <v>3.05</v>
      </c>
      <c r="H9" s="301">
        <f>IF(G9="","",10000/F10*G9/2)</f>
        <v>101.66666666666667</v>
      </c>
      <c r="J9" s="1" t="s">
        <v>114</v>
      </c>
    </row>
    <row r="10" spans="1:12" ht="28.5" customHeight="1">
      <c r="A10" s="282"/>
      <c r="B10" s="283"/>
      <c r="C10" s="190">
        <f>IF(D$4="","",D$4)</f>
        <v>300</v>
      </c>
      <c r="D10" s="300"/>
      <c r="E10" s="302"/>
      <c r="F10" s="190">
        <f>IF(G$4="","",G$4)</f>
        <v>150</v>
      </c>
      <c r="G10" s="305"/>
      <c r="H10" s="302"/>
    </row>
    <row r="11" spans="1:12" ht="20.25" customHeight="1">
      <c r="A11" s="284"/>
      <c r="B11" s="285"/>
      <c r="C11" s="191"/>
      <c r="D11" s="192"/>
      <c r="E11" s="193"/>
      <c r="F11" s="191"/>
      <c r="G11" s="203" t="s">
        <v>125</v>
      </c>
      <c r="H11" s="204"/>
    </row>
    <row r="12" spans="1:12" ht="33" customHeight="1">
      <c r="A12" s="92" t="s">
        <v>104</v>
      </c>
      <c r="B12" s="93"/>
      <c r="C12" s="157" t="s">
        <v>129</v>
      </c>
      <c r="D12" s="156">
        <f>IF(E9="","",D8+E9)</f>
        <v>100.25351002841646</v>
      </c>
      <c r="E12" s="93" t="s">
        <v>130</v>
      </c>
      <c r="F12" s="157" t="s">
        <v>129</v>
      </c>
      <c r="G12" s="156">
        <f>IF(H9="","",G8+H9)</f>
        <v>118.58684336174977</v>
      </c>
      <c r="H12" s="93" t="s">
        <v>130</v>
      </c>
    </row>
    <row r="13" spans="1:12" ht="26.25" customHeight="1">
      <c r="A13" s="280" t="s">
        <v>105</v>
      </c>
      <c r="B13" s="281"/>
      <c r="C13" s="158">
        <f>IF(D$4="","",D$4)</f>
        <v>300</v>
      </c>
      <c r="D13" s="296">
        <f>IF(C13="","",C13/3^0.5/6.6)</f>
        <v>26.243194054073903</v>
      </c>
      <c r="E13" s="292" t="s">
        <v>131</v>
      </c>
      <c r="F13" s="158">
        <f>IF(G$4="","",G$4)</f>
        <v>150</v>
      </c>
      <c r="G13" s="296">
        <f>IF(F13="","",F13/3^0.5/6.6)</f>
        <v>13.121597027036952</v>
      </c>
      <c r="H13" s="292" t="s">
        <v>126</v>
      </c>
    </row>
    <row r="14" spans="1:12" ht="26.25" customHeight="1">
      <c r="A14" s="282"/>
      <c r="B14" s="283"/>
      <c r="C14" s="190" t="s">
        <v>117</v>
      </c>
      <c r="D14" s="303"/>
      <c r="E14" s="293"/>
      <c r="F14" s="190" t="s">
        <v>117</v>
      </c>
      <c r="G14" s="297"/>
      <c r="H14" s="293"/>
    </row>
    <row r="15" spans="1:12" s="3" customFormat="1" ht="18.75" customHeight="1">
      <c r="A15" s="284"/>
      <c r="B15" s="285"/>
      <c r="C15" s="195"/>
      <c r="D15" s="196"/>
      <c r="E15" s="197"/>
      <c r="F15" s="161"/>
      <c r="G15" s="198">
        <f>F13/6.6</f>
        <v>22.72727272727273</v>
      </c>
      <c r="H15" s="145" t="s">
        <v>127</v>
      </c>
    </row>
    <row r="16" spans="1:12" ht="26.25" customHeight="1">
      <c r="A16" s="280" t="s">
        <v>109</v>
      </c>
      <c r="B16" s="281"/>
      <c r="C16" s="155">
        <v>100</v>
      </c>
      <c r="D16" s="294">
        <f>IF(D13="","",D13)</f>
        <v>26.243194054073903</v>
      </c>
      <c r="E16" s="159" t="s">
        <v>118</v>
      </c>
      <c r="F16" s="155">
        <v>100</v>
      </c>
      <c r="G16" s="294">
        <f>IF(G13="","",G13)</f>
        <v>13.121597027036952</v>
      </c>
      <c r="H16" s="159" t="s">
        <v>118</v>
      </c>
    </row>
    <row r="17" spans="1:10" ht="3" customHeight="1">
      <c r="A17" s="282"/>
      <c r="B17" s="283"/>
      <c r="C17" s="151"/>
      <c r="D17" s="295"/>
      <c r="E17" s="152"/>
      <c r="F17" s="151"/>
      <c r="G17" s="295"/>
      <c r="H17" s="152"/>
    </row>
    <row r="18" spans="1:10" ht="26.25" customHeight="1">
      <c r="A18" s="282"/>
      <c r="B18" s="283"/>
      <c r="C18" s="163">
        <f>IF(D12="","",D12)</f>
        <v>100.25351002841646</v>
      </c>
      <c r="D18" s="295"/>
      <c r="E18" s="160">
        <f>IF(D$4="","",D$4)</f>
        <v>300</v>
      </c>
      <c r="F18" s="163">
        <f>IF(G12="","",G12)</f>
        <v>118.58684336174977</v>
      </c>
      <c r="G18" s="295"/>
      <c r="H18" s="160">
        <f>IF(G$4="","",G$4)</f>
        <v>150</v>
      </c>
    </row>
    <row r="19" spans="1:10" ht="39" customHeight="1">
      <c r="A19" s="282"/>
      <c r="B19" s="283"/>
      <c r="C19" s="161" t="s">
        <v>132</v>
      </c>
      <c r="D19" s="162">
        <f>IF(D16="","",C16/C18*D16*10000/E18)</f>
        <v>872.56110522997733</v>
      </c>
      <c r="E19" s="145" t="s">
        <v>133</v>
      </c>
      <c r="F19" s="194" t="s">
        <v>134</v>
      </c>
      <c r="G19" s="202">
        <f>IF(G16="","",F16/F18*G16*10000/H18*3^0.5/2)</f>
        <v>638.83626218531595</v>
      </c>
      <c r="H19" s="145" t="s">
        <v>127</v>
      </c>
    </row>
    <row r="20" spans="1:10" ht="27.75" customHeight="1">
      <c r="A20" s="280" t="s">
        <v>110</v>
      </c>
      <c r="B20" s="281"/>
      <c r="C20" s="286">
        <f>IF(D19="","",D19)</f>
        <v>872.56110522997733</v>
      </c>
      <c r="D20" s="177">
        <v>6600</v>
      </c>
      <c r="E20" s="290">
        <f>IF(C20="","",C20*D20/D21)</f>
        <v>27423.349021513575</v>
      </c>
      <c r="F20" s="286">
        <f>IF(G19="","",G19)</f>
        <v>638.83626218531595</v>
      </c>
      <c r="G20" s="177">
        <v>6600</v>
      </c>
      <c r="H20" s="290">
        <f>IF(F20="","",F20*G20/G21)</f>
        <v>20077.711097252784</v>
      </c>
    </row>
    <row r="21" spans="1:10" ht="27.75" customHeight="1">
      <c r="A21" s="284"/>
      <c r="B21" s="285"/>
      <c r="C21" s="287"/>
      <c r="D21" s="178">
        <v>210</v>
      </c>
      <c r="E21" s="291"/>
      <c r="F21" s="287"/>
      <c r="G21" s="178">
        <v>210</v>
      </c>
      <c r="H21" s="291"/>
    </row>
    <row r="22" spans="1:10" ht="30" customHeight="1">
      <c r="A22" s="277" t="s">
        <v>108</v>
      </c>
      <c r="B22" s="288" t="s">
        <v>106</v>
      </c>
      <c r="C22" s="179" t="s">
        <v>135</v>
      </c>
      <c r="D22" s="164" t="s">
        <v>48</v>
      </c>
      <c r="E22" s="199">
        <v>1.6E-2</v>
      </c>
      <c r="F22" s="179" t="s">
        <v>136</v>
      </c>
      <c r="G22" s="164" t="s">
        <v>48</v>
      </c>
      <c r="H22" s="199">
        <v>0.02</v>
      </c>
      <c r="J22" s="1" t="s">
        <v>124</v>
      </c>
    </row>
    <row r="23" spans="1:10" ht="30" customHeight="1">
      <c r="A23" s="278"/>
      <c r="B23" s="275"/>
      <c r="C23" s="153" t="s">
        <v>106</v>
      </c>
      <c r="D23" s="200" t="str">
        <f>IF(E22="","可能／不可能",IF(D19^2*E22&gt;(D13*25)^2*2,"不可能","可能"))</f>
        <v>可能</v>
      </c>
      <c r="E23" s="167"/>
      <c r="F23" s="153" t="s">
        <v>106</v>
      </c>
      <c r="G23" s="200" t="str">
        <f>IF(H22="","可能／不可能",IF(G19^2*H22&gt;(G15*25)^2*2,"不可能","可能"))</f>
        <v>可能</v>
      </c>
      <c r="H23" s="167"/>
      <c r="J23" s="307" t="s">
        <v>193</v>
      </c>
    </row>
    <row r="24" spans="1:10" ht="30" customHeight="1">
      <c r="A24" s="278"/>
      <c r="B24" s="275"/>
      <c r="C24" s="154" t="s">
        <v>120</v>
      </c>
      <c r="D24" s="180"/>
      <c r="E24" s="168"/>
      <c r="F24" s="154" t="s">
        <v>120</v>
      </c>
      <c r="G24" s="180"/>
      <c r="H24" s="168"/>
    </row>
    <row r="25" spans="1:10" ht="30" customHeight="1">
      <c r="A25" s="278"/>
      <c r="B25" s="289"/>
      <c r="C25" s="182" t="s">
        <v>143</v>
      </c>
      <c r="D25" s="166" t="s">
        <v>48</v>
      </c>
      <c r="E25" s="181"/>
      <c r="F25" s="182" t="s">
        <v>137</v>
      </c>
      <c r="G25" s="166" t="s">
        <v>48</v>
      </c>
      <c r="H25" s="181"/>
      <c r="J25" s="1" t="s">
        <v>124</v>
      </c>
    </row>
    <row r="26" spans="1:10" ht="21.75" customHeight="1">
      <c r="A26" s="278"/>
      <c r="B26" s="274" t="s">
        <v>107</v>
      </c>
      <c r="C26" s="183" t="s">
        <v>122</v>
      </c>
      <c r="D26" s="184"/>
      <c r="E26" s="168"/>
      <c r="F26" s="183" t="s">
        <v>122</v>
      </c>
      <c r="G26" s="184"/>
      <c r="H26" s="168"/>
    </row>
    <row r="27" spans="1:10" ht="21.75" customHeight="1">
      <c r="A27" s="278"/>
      <c r="B27" s="275"/>
      <c r="C27" s="185" t="s">
        <v>123</v>
      </c>
      <c r="D27" s="4"/>
      <c r="E27" s="165"/>
      <c r="F27" s="185" t="s">
        <v>123</v>
      </c>
      <c r="G27" s="4"/>
      <c r="H27" s="165"/>
    </row>
    <row r="28" spans="1:10" ht="30" customHeight="1">
      <c r="A28" s="278"/>
      <c r="B28" s="275"/>
      <c r="C28" s="171">
        <f>IF(E25="",IF(E22="","",E22),E25)</f>
        <v>1.6E-2</v>
      </c>
      <c r="D28" s="1" t="s">
        <v>138</v>
      </c>
      <c r="E28" s="169">
        <f>IF(C28="","",110*D6/C28^0.5)</f>
        <v>434813.17827315221</v>
      </c>
      <c r="F28" s="171">
        <f>IF(H25="",IF(H22="","",H22),H25)</f>
        <v>0.02</v>
      </c>
      <c r="G28" s="1" t="s">
        <v>138</v>
      </c>
      <c r="H28" s="169">
        <f>IF(F28="","",110*G6/F28^0.5)</f>
        <v>311126.98372208094</v>
      </c>
      <c r="J28" s="1" t="s">
        <v>195</v>
      </c>
    </row>
    <row r="29" spans="1:10" ht="30" customHeight="1">
      <c r="A29" s="279"/>
      <c r="B29" s="276"/>
      <c r="C29" s="144" t="s">
        <v>121</v>
      </c>
      <c r="D29" s="170" t="str">
        <f>IF(E28="","",IF(E28&lt;E20,"不可能","可能"))</f>
        <v>可能</v>
      </c>
      <c r="E29" s="52"/>
      <c r="F29" s="144" t="s">
        <v>121</v>
      </c>
      <c r="G29" s="170" t="str">
        <f>IF(H28="","",IF(H28&lt;H20,"不可能","可能"))</f>
        <v>可能</v>
      </c>
      <c r="H29" s="52"/>
    </row>
  </sheetData>
  <mergeCells count="23">
    <mergeCell ref="D16:D18"/>
    <mergeCell ref="A16:B19"/>
    <mergeCell ref="A13:B15"/>
    <mergeCell ref="G2:H2"/>
    <mergeCell ref="D9:D10"/>
    <mergeCell ref="E9:E10"/>
    <mergeCell ref="H9:H10"/>
    <mergeCell ref="D13:D14"/>
    <mergeCell ref="G9:G10"/>
    <mergeCell ref="E20:E21"/>
    <mergeCell ref="H13:H14"/>
    <mergeCell ref="G16:G18"/>
    <mergeCell ref="F20:F21"/>
    <mergeCell ref="H20:H21"/>
    <mergeCell ref="E13:E14"/>
    <mergeCell ref="G13:G14"/>
    <mergeCell ref="B26:B29"/>
    <mergeCell ref="A22:A29"/>
    <mergeCell ref="A4:B5"/>
    <mergeCell ref="A9:B11"/>
    <mergeCell ref="C20:C21"/>
    <mergeCell ref="A20:B21"/>
    <mergeCell ref="B22:B25"/>
  </mergeCells>
  <phoneticPr fontId="1"/>
  <dataValidations count="2">
    <dataValidation imeMode="off" allowBlank="1" showInputMessage="1" showErrorMessage="1" sqref="D4:D6 G4 G6:G14 H7:H14 C7:F14 D15 C16:H29" xr:uid="{00000000-0002-0000-0300-000000000000}"/>
    <dataValidation imeMode="hiragana" allowBlank="1" showInputMessage="1" showErrorMessage="1" sqref="C6 F6" xr:uid="{00000000-0002-0000-0300-000001000000}"/>
  </dataValidations>
  <pageMargins left="0.78740157480314965" right="0.55118110236220474" top="0.86614173228346458" bottom="0.78740157480314965" header="0.51181102362204722" footer="0.51181102362204722"/>
  <pageSetup paperSize="9" orientation="portrait" blackAndWhite="1" horizontalDpi="300" verticalDpi="300" r:id="rId1"/>
  <headerFooter alignWithMargins="0">
    <oddFooter>&amp;R&amp;"ＭＳ 明朝,標準"&amp;8一般社団法人 北陸電気管理技術者協会
綾部電気管理事務所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OC強度</vt:lpstr>
      <vt:lpstr>OCR</vt:lpstr>
      <vt:lpstr>Ｔｒ群</vt:lpstr>
      <vt:lpstr>Bus短絡</vt:lpstr>
      <vt:lpstr>Bus短絡!Print_Area</vt:lpstr>
      <vt:lpstr>OCR!Print_Area</vt:lpstr>
      <vt:lpstr>OC強度!Print_Area</vt:lpstr>
      <vt:lpstr>Ｔｒ群!Print_Area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mitio ayabe</dc:creator>
  <cp:lastModifiedBy>ayabe mitio</cp:lastModifiedBy>
  <cp:lastPrinted>2020-07-28T09:01:56Z</cp:lastPrinted>
  <dcterms:created xsi:type="dcterms:W3CDTF">1997-01-08T22:48:59Z</dcterms:created>
  <dcterms:modified xsi:type="dcterms:W3CDTF">2022-11-06T03:55:47Z</dcterms:modified>
</cp:coreProperties>
</file>